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30700\Grupos\Grupos\COMPRA\2017\COMPARACIONES DE PRECIOS 2017\EDN-CP-08-2017 PROYECTO AMPLIACIÓN SUBESTACION EL CHIVO\PRESUPUESTO\"/>
    </mc:Choice>
  </mc:AlternateContent>
  <bookViews>
    <workbookView xWindow="-15" yWindow="-15" windowWidth="19260" windowHeight="11685"/>
  </bookViews>
  <sheets>
    <sheet name="Presupuesto" sheetId="1" r:id="rId1"/>
  </sheets>
  <calcPr calcId="152511"/>
</workbook>
</file>

<file path=xl/calcChain.xml><?xml version="1.0" encoding="utf-8"?>
<calcChain xmlns="http://schemas.openxmlformats.org/spreadsheetml/2006/main">
  <c r="F169" i="1" l="1"/>
  <c r="F167" i="1"/>
  <c r="C166" i="1"/>
  <c r="F166" i="1" s="1"/>
  <c r="F165" i="1"/>
  <c r="F164" i="1"/>
  <c r="F163" i="1"/>
  <c r="A163" i="1"/>
  <c r="A164" i="1" s="1"/>
  <c r="A165" i="1" s="1"/>
  <c r="A166" i="1" s="1"/>
  <c r="A167" i="1" s="1"/>
  <c r="C156" i="1" l="1"/>
  <c r="F36" i="1" l="1"/>
  <c r="F141" i="1" l="1"/>
  <c r="A156" i="1"/>
  <c r="F156" i="1"/>
  <c r="C154" i="1"/>
  <c r="F35" i="1"/>
  <c r="C34" i="1"/>
  <c r="F3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C15" i="1" l="1"/>
  <c r="F15" i="1" s="1"/>
  <c r="F158" i="1" l="1"/>
  <c r="A158" i="1"/>
  <c r="F45" i="1"/>
  <c r="F209" i="1" l="1"/>
  <c r="F196" i="1"/>
  <c r="C124" i="1" l="1"/>
  <c r="C53" i="1"/>
  <c r="F6" i="1" l="1"/>
  <c r="F22" i="1"/>
  <c r="F23" i="1"/>
  <c r="F38" i="1"/>
  <c r="F39" i="1"/>
  <c r="F44" i="1"/>
  <c r="F48" i="1"/>
  <c r="F54" i="1"/>
  <c r="F55" i="1"/>
  <c r="F62" i="1"/>
  <c r="F63" i="1"/>
  <c r="F64" i="1"/>
  <c r="F70" i="1"/>
  <c r="F71" i="1"/>
  <c r="F72" i="1"/>
  <c r="F78" i="1"/>
  <c r="F79" i="1"/>
  <c r="F80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7" i="1"/>
  <c r="F108" i="1"/>
  <c r="F109" i="1"/>
  <c r="F115" i="1"/>
  <c r="F116" i="1"/>
  <c r="F117" i="1"/>
  <c r="F123" i="1"/>
  <c r="F124" i="1"/>
  <c r="F125" i="1"/>
  <c r="F134" i="1"/>
  <c r="F135" i="1"/>
  <c r="F136" i="1"/>
  <c r="F138" i="1"/>
  <c r="F140" i="1"/>
  <c r="F147" i="1"/>
  <c r="F160" i="1"/>
  <c r="F186" i="1"/>
  <c r="F187" i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5" i="1"/>
  <c r="F239" i="1" l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C13" i="1"/>
  <c r="F13" i="1" s="1"/>
  <c r="C11" i="1"/>
  <c r="F11" i="1" s="1"/>
  <c r="F154" i="1"/>
  <c r="A160" i="1"/>
  <c r="A154" i="1"/>
  <c r="A150" i="1"/>
  <c r="A151" i="1" s="1"/>
  <c r="A152" i="1" s="1"/>
  <c r="C152" i="1"/>
  <c r="F152" i="1" s="1"/>
  <c r="C150" i="1"/>
  <c r="C151" i="1" l="1"/>
  <c r="F151" i="1" s="1"/>
  <c r="F150" i="1"/>
  <c r="A143" i="1"/>
  <c r="A144" i="1" s="1"/>
  <c r="A145" i="1" s="1"/>
  <c r="A146" i="1" s="1"/>
  <c r="A147" i="1" s="1"/>
  <c r="A148" i="1" s="1"/>
  <c r="C146" i="1"/>
  <c r="F146" i="1" s="1"/>
  <c r="C145" i="1"/>
  <c r="F145" i="1" s="1"/>
  <c r="C143" i="1"/>
  <c r="C148" i="1"/>
  <c r="F148" i="1" s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C133" i="1"/>
  <c r="F133" i="1" s="1"/>
  <c r="C132" i="1"/>
  <c r="F132" i="1" s="1"/>
  <c r="C131" i="1"/>
  <c r="F131" i="1" s="1"/>
  <c r="C130" i="1"/>
  <c r="F130" i="1" s="1"/>
  <c r="C129" i="1"/>
  <c r="F129" i="1" s="1"/>
  <c r="C127" i="1"/>
  <c r="C139" i="1"/>
  <c r="F139" i="1" s="1"/>
  <c r="C137" i="1"/>
  <c r="F137" i="1" s="1"/>
  <c r="A119" i="1"/>
  <c r="A120" i="1" s="1"/>
  <c r="A121" i="1" s="1"/>
  <c r="A122" i="1" s="1"/>
  <c r="A123" i="1" s="1"/>
  <c r="A124" i="1" s="1"/>
  <c r="A125" i="1" s="1"/>
  <c r="C122" i="1"/>
  <c r="F122" i="1" s="1"/>
  <c r="C121" i="1"/>
  <c r="F121" i="1" s="1"/>
  <c r="C119" i="1"/>
  <c r="A111" i="1"/>
  <c r="A112" i="1" s="1"/>
  <c r="A113" i="1" s="1"/>
  <c r="A114" i="1" s="1"/>
  <c r="A115" i="1" s="1"/>
  <c r="A116" i="1" s="1"/>
  <c r="A117" i="1" s="1"/>
  <c r="C114" i="1"/>
  <c r="F114" i="1" s="1"/>
  <c r="C113" i="1"/>
  <c r="F113" i="1" s="1"/>
  <c r="C111" i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C105" i="1"/>
  <c r="F105" i="1" s="1"/>
  <c r="C106" i="1"/>
  <c r="F106" i="1" s="1"/>
  <c r="A82" i="1"/>
  <c r="A83" i="1" s="1"/>
  <c r="A84" i="1" s="1"/>
  <c r="A85" i="1" s="1"/>
  <c r="A86" i="1" s="1"/>
  <c r="A87" i="1" s="1"/>
  <c r="A88" i="1" s="1"/>
  <c r="C85" i="1"/>
  <c r="F85" i="1" s="1"/>
  <c r="C84" i="1"/>
  <c r="F84" i="1" s="1"/>
  <c r="C82" i="1"/>
  <c r="A74" i="1"/>
  <c r="A75" i="1" s="1"/>
  <c r="A76" i="1" s="1"/>
  <c r="A77" i="1" s="1"/>
  <c r="A78" i="1" s="1"/>
  <c r="A79" i="1" s="1"/>
  <c r="A80" i="1" s="1"/>
  <c r="C77" i="1"/>
  <c r="F77" i="1" s="1"/>
  <c r="C74" i="1"/>
  <c r="C76" i="1"/>
  <c r="F76" i="1" s="1"/>
  <c r="A66" i="1"/>
  <c r="A67" i="1" s="1"/>
  <c r="A68" i="1" s="1"/>
  <c r="A69" i="1" s="1"/>
  <c r="A70" i="1" s="1"/>
  <c r="A71" i="1" s="1"/>
  <c r="A72" i="1" s="1"/>
  <c r="C69" i="1"/>
  <c r="F69" i="1" s="1"/>
  <c r="C68" i="1"/>
  <c r="F68" i="1" s="1"/>
  <c r="C66" i="1"/>
  <c r="A58" i="1"/>
  <c r="A59" i="1" s="1"/>
  <c r="A60" i="1" s="1"/>
  <c r="A61" i="1" s="1"/>
  <c r="A62" i="1" s="1"/>
  <c r="A63" i="1" s="1"/>
  <c r="A64" i="1" s="1"/>
  <c r="C61" i="1"/>
  <c r="F61" i="1" s="1"/>
  <c r="C60" i="1"/>
  <c r="F60" i="1" s="1"/>
  <c r="C58" i="1"/>
  <c r="A50" i="1"/>
  <c r="A51" i="1" s="1"/>
  <c r="A52" i="1" s="1"/>
  <c r="A53" i="1" s="1"/>
  <c r="A54" i="1" s="1"/>
  <c r="A55" i="1" s="1"/>
  <c r="A56" i="1" s="1"/>
  <c r="C56" i="1"/>
  <c r="F56" i="1" s="1"/>
  <c r="F53" i="1"/>
  <c r="C52" i="1"/>
  <c r="F52" i="1" s="1"/>
  <c r="C50" i="1"/>
  <c r="A47" i="1"/>
  <c r="A48" i="1" s="1"/>
  <c r="C47" i="1"/>
  <c r="F47" i="1" s="1"/>
  <c r="C43" i="1"/>
  <c r="F43" i="1" s="1"/>
  <c r="A43" i="1"/>
  <c r="A44" i="1" s="1"/>
  <c r="A45" i="1" s="1"/>
  <c r="A41" i="1"/>
  <c r="C41" i="1"/>
  <c r="F41" i="1" s="1"/>
  <c r="A38" i="1"/>
  <c r="A39" i="1" s="1"/>
  <c r="C51" i="1" l="1"/>
  <c r="F51" i="1" s="1"/>
  <c r="F50" i="1"/>
  <c r="C112" i="1"/>
  <c r="F112" i="1" s="1"/>
  <c r="F111" i="1"/>
  <c r="C120" i="1"/>
  <c r="F120" i="1" s="1"/>
  <c r="F119" i="1"/>
  <c r="C59" i="1"/>
  <c r="F59" i="1" s="1"/>
  <c r="F58" i="1"/>
  <c r="C67" i="1"/>
  <c r="F67" i="1" s="1"/>
  <c r="F66" i="1"/>
  <c r="C83" i="1"/>
  <c r="F83" i="1" s="1"/>
  <c r="F82" i="1"/>
  <c r="C75" i="1"/>
  <c r="F75" i="1" s="1"/>
  <c r="F74" i="1"/>
  <c r="C128" i="1"/>
  <c r="F128" i="1" s="1"/>
  <c r="F127" i="1"/>
  <c r="C144" i="1"/>
  <c r="F144" i="1" s="1"/>
  <c r="F143" i="1"/>
  <c r="C33" i="1"/>
  <c r="F33" i="1" s="1"/>
  <c r="C32" i="1"/>
  <c r="F32" i="1" s="1"/>
  <c r="C31" i="1"/>
  <c r="F31" i="1" s="1"/>
  <c r="C30" i="1"/>
  <c r="F30" i="1" s="1"/>
  <c r="C29" i="1"/>
  <c r="F29" i="1" s="1"/>
  <c r="C27" i="1"/>
  <c r="C26" i="1"/>
  <c r="F26" i="1" s="1"/>
  <c r="C25" i="1"/>
  <c r="F25" i="1" s="1"/>
  <c r="C24" i="1"/>
  <c r="F24" i="1" s="1"/>
  <c r="C28" i="1" l="1"/>
  <c r="F28" i="1" s="1"/>
  <c r="F27" i="1"/>
  <c r="C21" i="1"/>
  <c r="F21" i="1" s="1"/>
  <c r="C20" i="1"/>
  <c r="F20" i="1" s="1"/>
  <c r="C19" i="1"/>
  <c r="F19" i="1" s="1"/>
  <c r="C18" i="1"/>
  <c r="F18" i="1" s="1"/>
  <c r="C16" i="1"/>
  <c r="C17" i="1" s="1"/>
  <c r="F17" i="1" l="1"/>
  <c r="F16" i="1"/>
  <c r="C12" i="1"/>
  <c r="F12" i="1" s="1"/>
  <c r="A11" i="1"/>
  <c r="A12" i="1" s="1"/>
  <c r="A13" i="1" s="1"/>
  <c r="C8" i="1"/>
  <c r="A8" i="1"/>
  <c r="A9" i="1" s="1"/>
  <c r="A5" i="1"/>
  <c r="A6" i="1" s="1"/>
  <c r="C9" i="1" l="1"/>
  <c r="F9" i="1" s="1"/>
  <c r="F8" i="1"/>
  <c r="F171" i="1" l="1"/>
  <c r="F172" i="1" l="1"/>
  <c r="F174" i="1"/>
  <c r="F173" i="1"/>
  <c r="F175" i="1" l="1"/>
  <c r="F176" i="1" s="1"/>
  <c r="F178" i="1" s="1"/>
  <c r="F240" i="1" l="1"/>
  <c r="F242" i="1" s="1"/>
  <c r="F245" i="1" s="1"/>
</calcChain>
</file>

<file path=xl/sharedStrings.xml><?xml version="1.0" encoding="utf-8"?>
<sst xmlns="http://schemas.openxmlformats.org/spreadsheetml/2006/main" count="438" uniqueCount="211">
  <si>
    <t>No</t>
  </si>
  <si>
    <t>Partidas descripción</t>
  </si>
  <si>
    <t>Cantidad</t>
  </si>
  <si>
    <t>Unidad</t>
  </si>
  <si>
    <t>P.U.</t>
  </si>
  <si>
    <t>Valor</t>
  </si>
  <si>
    <t>Preliminares</t>
  </si>
  <si>
    <t>Pa</t>
  </si>
  <si>
    <t>Movimiento de Tierra</t>
  </si>
  <si>
    <t>M³</t>
  </si>
  <si>
    <t>Fraguache.</t>
  </si>
  <si>
    <t>Empañete.</t>
  </si>
  <si>
    <t>Bote material.</t>
  </si>
  <si>
    <t>Relleno Material Compactado (t=0,20 m).</t>
  </si>
  <si>
    <t>Relleno Material Compactado (t=0,30 m). Ver mas detalles en plano.</t>
  </si>
  <si>
    <t>Base Interruptor AT</t>
  </si>
  <si>
    <t>Base Seccionador AT</t>
  </si>
  <si>
    <t>Relleno arena.</t>
  </si>
  <si>
    <t>Relleno Material Compactado.</t>
  </si>
  <si>
    <t>Relleno y esparcimiento de grava</t>
  </si>
  <si>
    <t>Suministro y Esparcimiento de Grava 3/4", espesor de 0,15 m.</t>
  </si>
  <si>
    <t>Cable de control SJTW 10 AWG X 4 hilos.</t>
  </si>
  <si>
    <t>Cable de control SJTW 14 AWG X 12 hilos.</t>
  </si>
  <si>
    <t>Cable de control SJTW 10 AWG X 2 hilos.</t>
  </si>
  <si>
    <t>Molde en cruz p/soldadura exotérmica conductor calibre 4/0</t>
  </si>
  <si>
    <t>Molde en Te p/soldadura exotérmica conductor calibre 4/0</t>
  </si>
  <si>
    <t>Molde p/soldadura exotérmica p/varilla cobre 5/8"</t>
  </si>
  <si>
    <t>Fundente soldadura exotérmica 115gr</t>
  </si>
  <si>
    <t>Fundente soldadura exotérmica 200gr</t>
  </si>
  <si>
    <t>Limpieza Final</t>
  </si>
  <si>
    <t>Limpieza y Bote Final Escombros.</t>
  </si>
  <si>
    <t>Demolición estructura hormigón existente</t>
  </si>
  <si>
    <t>H.A. 210 kg/cm2 Zapata t=0.10 m, con acero principal en ambas direcciones de Ø3/8" @ 0.15 m. Ver mas detalles en plano.</t>
  </si>
  <si>
    <t>Bote de escombros</t>
  </si>
  <si>
    <t>Demolición hormigón (columnas, vigas y zapata)</t>
  </si>
  <si>
    <t>m3</t>
  </si>
  <si>
    <t>Verja Frontal</t>
  </si>
  <si>
    <t>Suministro y colocación block 6" para muro SNP (3 líneas)</t>
  </si>
  <si>
    <t>m2</t>
  </si>
  <si>
    <t>m</t>
  </si>
  <si>
    <t>Fraguache muro verja</t>
  </si>
  <si>
    <t>Empañete muro verja</t>
  </si>
  <si>
    <t>Fraguache columnas</t>
  </si>
  <si>
    <t>Empañete columnas</t>
  </si>
  <si>
    <t>Aplicación pintura semigloss blanco 00 a muro de verja</t>
  </si>
  <si>
    <t>PA</t>
  </si>
  <si>
    <t>M3</t>
  </si>
  <si>
    <t>Terminación de superficie</t>
  </si>
  <si>
    <t>Construcción de acera</t>
  </si>
  <si>
    <t>Pintura Amarillo Trafico a superficies</t>
  </si>
  <si>
    <t>und</t>
  </si>
  <si>
    <t>suministro y colocación pernos galvanizados diám. 5/8x 0.60m</t>
  </si>
  <si>
    <t>Bases pararrayos 69kV (3 unds)</t>
  </si>
  <si>
    <t>Base transformador de potencia</t>
  </si>
  <si>
    <t>M²</t>
  </si>
  <si>
    <t>Mocheta</t>
  </si>
  <si>
    <t>Cantos</t>
  </si>
  <si>
    <t>Base soporte cables 12.5kV</t>
  </si>
  <si>
    <t>H.A. 210 kg/cm2 Zapata ( t=0,30 m) y pedestal t=0.55 m, con acero principal en ambas direcciones de Ø3/8" @ 0.20 m. Ver mas detalles en plano.</t>
  </si>
  <si>
    <t>Bases interruptores 12.5kV (4 unds)</t>
  </si>
  <si>
    <t>H.A. 210 kg/cm2 para viga de amarre, con acero principal en ambas direcciones de Ø3/8" @ 0.15 m. (incluye suministro y colocación de angular 1x1/4" para soporte de tapa), Ver mas detalles en plano.</t>
  </si>
  <si>
    <t>Suministro y colocación piedras (tamaño 3") 1.30m3 para drenaje</t>
  </si>
  <si>
    <t>Confección y colocación de parrilla en barra hierro cuadrada 1/2" (6 unds) (incluye aplicación de pintura antióxido gris) Ver detalles en plano</t>
  </si>
  <si>
    <t>Malla de tierra</t>
  </si>
  <si>
    <t>Relleno material compactado</t>
  </si>
  <si>
    <t>Excavación trinchera malla de tierra (a=0.40, t=0.60)</t>
  </si>
  <si>
    <t>Suministro de Materiales</t>
  </si>
  <si>
    <t>Tenazas para moldes</t>
  </si>
  <si>
    <t>Fundente soldadura exotérmica 150gr</t>
  </si>
  <si>
    <t>Conductor cobre desnudo calibre 4/0AWG trenzado (1,640 pies)</t>
  </si>
  <si>
    <t>botella Mapp-Gas 16 onzas con antorcha</t>
  </si>
  <si>
    <t>Cruceta galvanizada 16 pies</t>
  </si>
  <si>
    <t>Tornillo Galv. Rosca corrida 5/8"X16" completo</t>
  </si>
  <si>
    <t>Cable acero para guarda 3/8"</t>
  </si>
  <si>
    <t>Grapa de retención 2/0-4/0</t>
  </si>
  <si>
    <t>Autoválvulas 10kV</t>
  </si>
  <si>
    <t>Tuerca de ojo 5/8</t>
  </si>
  <si>
    <t>Tubería IMC 1"x20'</t>
  </si>
  <si>
    <t>abrazadera Unistrup 1" topaz</t>
  </si>
  <si>
    <t>Brazo de lámparas</t>
  </si>
  <si>
    <t>Lámparas 150W</t>
  </si>
  <si>
    <t>Bombilla 175W</t>
  </si>
  <si>
    <t>Anillo conduit 1"</t>
  </si>
  <si>
    <t>conector recto liquit Tight 1"</t>
  </si>
  <si>
    <t>Riel 1-1/2</t>
  </si>
  <si>
    <t>tornillo auto barrena 1-1/2</t>
  </si>
  <si>
    <t>Poste metálico de chapas 10.5 mts. 5kN</t>
  </si>
  <si>
    <t>Poste metálico de chapas 12 mts. 5kN</t>
  </si>
  <si>
    <t>Cruceta galvanizada 22 pies</t>
  </si>
  <si>
    <t>Angular aluminio 4''x4''x 1/4" x 20'</t>
  </si>
  <si>
    <t>Cable de cobre trenzado desnudo 350 kcmil</t>
  </si>
  <si>
    <t>Grapa conexión doble para conductor 4/0</t>
  </si>
  <si>
    <t>Adaptador pvc hembra 1"</t>
  </si>
  <si>
    <t>Rollo tubería liquit tight 1" no metálica</t>
  </si>
  <si>
    <t>Rollo tubería liquit tight 2" no metálica</t>
  </si>
  <si>
    <t>Total Partidas</t>
  </si>
  <si>
    <t>%</t>
  </si>
  <si>
    <t>ITBIS</t>
  </si>
  <si>
    <t xml:space="preserve">Fraguache </t>
  </si>
  <si>
    <t>Fraguache depósito aceite</t>
  </si>
  <si>
    <t>Empañete depósito aceite</t>
  </si>
  <si>
    <t>Registro Cable de Control (6 unds)</t>
  </si>
  <si>
    <t>Fotoceldas</t>
  </si>
  <si>
    <t>Descripción de partidas
Obra civil Ampliación Subestación el Chivo</t>
  </si>
  <si>
    <t>Suministro y colocación block 6" para muro BNP (2 líneas)</t>
  </si>
  <si>
    <t>Excavación Zapata para columna de puerta de acceso (1.0 x 1.0 x 0.65m), (2 unds)</t>
  </si>
  <si>
    <t>Construcción Puerta de Acceso Frontal</t>
  </si>
  <si>
    <t>Pintura Antióxido gris para puerta.</t>
  </si>
  <si>
    <t>Vial Vehículos Pesados</t>
  </si>
  <si>
    <t>Contén Vial</t>
  </si>
  <si>
    <t>Terminación de superficie.</t>
  </si>
  <si>
    <t>Cimentación Postes (8 unds)</t>
  </si>
  <si>
    <t>Excavación (1.8x1.8x0.90). Ver mas detalles en plano.</t>
  </si>
  <si>
    <t>Excavación (1,30 x 1,30x 1,20 m). Ver mas detalles en plano.</t>
  </si>
  <si>
    <t>Suministro y colocación de blocks de 8". Ver mas detalles en plano.</t>
  </si>
  <si>
    <t>Confección de tapa para registros ( 12 unds, dos por registro) de 1.00 x 0,48 m, t= 0,05 m, incluye borde en angular de 1 x 1/4" . Ver mas detalles en plano.</t>
  </si>
  <si>
    <t>Suministro y colocación tubería diám. 4" para drenaje (0.7 m x 6unds)</t>
  </si>
  <si>
    <t>Perforación de muro caseta de control y acondicionamiento para instalación de 3 tuberías PVC diám. 3" disposición horizontal</t>
  </si>
  <si>
    <t>Suministro y colocación Tuberías de control y Desagüe</t>
  </si>
  <si>
    <t>Excavación Zanjas. Ver mas detalles en plano.</t>
  </si>
  <si>
    <t>Suministro y colocación de Tubería 3"x19' PVC SDR-26 (160PSI) , incluye accesorios para su instalación.</t>
  </si>
  <si>
    <t>Suministro y colocación de Tubería 2"x19' PVC SDR-26 (160PSI) , incluye accesorios para su instalación.</t>
  </si>
  <si>
    <t>Chispero ignición para moldes soldadura exotérmica</t>
  </si>
  <si>
    <t>Aisladores rígidos 12.5 kV</t>
  </si>
  <si>
    <t>Aislador polimérico 12.5kV</t>
  </si>
  <si>
    <t>unión pvc 2"</t>
  </si>
  <si>
    <r>
      <t>M</t>
    </r>
    <r>
      <rPr>
        <sz val="10"/>
        <color theme="1"/>
        <rFont val="Calibri"/>
        <family val="2"/>
        <scheme val="minor"/>
      </rPr>
      <t>²</t>
    </r>
  </si>
  <si>
    <t>Limpieza y replanteo</t>
  </si>
  <si>
    <t>Corte capa vegetal y excavación (t=0.50m). Ver mas detalles en plano y estudio de suelos</t>
  </si>
  <si>
    <t>Excavación Zapata de Muro</t>
  </si>
  <si>
    <t>H.A. 210 kg/cm2 para zapata de muro, (0.25mX0.45m), con acero Ø1/2" @ 0.15 m transversal y Ø3/8" @ 0.14 m longitudinal. Ver mas detalles en plano</t>
  </si>
  <si>
    <t>H.A. 180 kg/cm2 para zabaleta de muro verja</t>
  </si>
  <si>
    <t>Suministro y colocación de Alambre trinchera, usar ø3/8 como mensajero, incluye accesorios de instalación</t>
  </si>
  <si>
    <t>H.A. 210 kg/cm2 para zapata de columna de puerta acceso, (1.0X1.0X0.25m), con acero Ø1/2" @ 0.15 m transversal y Ø3/8" @ 0.14 m longitudinal. Ver más detalles en plano</t>
  </si>
  <si>
    <t>Relleno de material compactado (en capas de 0,20 m). Altura de terreno final compactado 0.20 mts por encima de acera frontal. Ver más detalles en planos</t>
  </si>
  <si>
    <t>H.A. 210 kg/cm2 para columna de puerta acceso, (0.30 x 0.30 x 2.80 m), con acero Ø1/2" @ 0.15 m transversal y Ø3/8" @ 0.14 m longitudinal. Ver más detalles en plano.</t>
  </si>
  <si>
    <t>Construcción puerta de acceso en cuatro paños de 2.00 m, h= 2.40 m con estructura de tubo Conduit IMC diam. 2 1/2",  con malla ciclónica, incluye bisagras soldables y demás accesorios para su instalación. Ver detalles en plano</t>
  </si>
  <si>
    <t>H.A. 210 kg/cm2, dar pendiente de 1% en ambos lados (8.00x31.00M). Incluye malla electrosoldada D=0.25x0.25. Ver más detalles en plano. (incluye encofrado, desencofrado y frotado)</t>
  </si>
  <si>
    <t>Hormigón 180 kg/cm2, L= 63.50 m. Ver más detalles en plano</t>
  </si>
  <si>
    <t>H.A. 180 kg/cm2 para acera, longitud 85.57m (ancho=0.60m, espesor=0.10m). Ver más detalles en plano</t>
  </si>
  <si>
    <t>Excavación t=1.85 m .Ver más detalles en plano</t>
  </si>
  <si>
    <t>Bote material</t>
  </si>
  <si>
    <t>Relleno grava gruesa (t=0,10 m). Ver más detalles en plano</t>
  </si>
  <si>
    <t>H.A. 210 kg/cm2 para cimentación de postes. Ver mas detalles en plano</t>
  </si>
  <si>
    <t>Pintura Amarillo Tráfico</t>
  </si>
  <si>
    <t>H.A. 210 kg/cm2 para calzada de postes. Ver más detalles en plano</t>
  </si>
  <si>
    <t>Excavación (3.10 x 1.90 x 0.90 m). Ver más detalles en plano</t>
  </si>
  <si>
    <t>Relleno Material Compactado (t=0,30 m). Ver más detalles en plano</t>
  </si>
  <si>
    <t>H.A. 210 kg/cm2 Zapata ( t=0,30 m) y Pedestales t=0.55 m, con acero principal en ambas direcciones de Ø3/8" @ 0.20 m. Ver más detalles en plano</t>
  </si>
  <si>
    <t>Pintura Amarillo Tráfico a superficies</t>
  </si>
  <si>
    <t>Excavación (3.04x1.54x0.90). Ver más detalles en plano.</t>
  </si>
  <si>
    <t>H.A. 210 kg/cm2 Zapata ( t=0,30 m) y base t=0.55 m, con acero principal en ambas direcciones de Ø3/8" @ 0.20 m. Ver más detalles en plano</t>
  </si>
  <si>
    <t>Excavación (1.0x1.0x0.90). Ver más detalles en plano</t>
  </si>
  <si>
    <t>Suministro y colocación pernos galvanizados diám. 5/8"x 0.60 m</t>
  </si>
  <si>
    <t>Excavación (1.0x1.0x0.90). Ver mas detalles en plano</t>
  </si>
  <si>
    <t>Excavación t=1.05 m .Ver más detalles en plano</t>
  </si>
  <si>
    <t>Relleno Material Compactado (t=0.40 m). Ver más detalles en plano</t>
  </si>
  <si>
    <t>H.A. 210 kg/cm2 Zapata ( t=0.30 m), con acero principal en ambas direcciones de Ø1/2" @ 0.25 m, acero adicional Ø1/2" @ 0.25 m y adicional Ø3/8" @ 0.25 m incluye H.A. Pedestal (t=0.60 m). Ver más detalles en plano</t>
  </si>
  <si>
    <t>Suministro y colocación de blocks de 8" borde base transformador (3 líneas). Ver más detalles en plano</t>
  </si>
  <si>
    <t>Empañete</t>
  </si>
  <si>
    <t>Confección de parrillas con angular de 2" x 2" en borde interior muro, barras cuadradas de 1/2" y planchuela de 1/2" (2 unds), incluye aplicación pintura antióxido negro</t>
  </si>
  <si>
    <t>Excavación área registros para aceite t=1.90 m .Ver más detalles en plano</t>
  </si>
  <si>
    <t>Relleno Material Compactado (t=0.20 m). Ver más detalles en plano</t>
  </si>
  <si>
    <t>H.A. 210 kg/cm2 , con acero principal en ambas direcciones de Ø1/2" @ 0.25 m (t=0.10 m). Ver más detalles en plano</t>
  </si>
  <si>
    <t>Confección de tapa para registro (1m x 1m x 0.10 m), incluye bordes en angular de 2" . Ver más detalles en plano</t>
  </si>
  <si>
    <t>Suministro y colocación de blocks de 8" borde registros para depósito de aceite (8 líneas). Ver más detalles en plano</t>
  </si>
  <si>
    <t>Excavación (1.0x1.0x0.90). Ver más detalles en plano.</t>
  </si>
  <si>
    <t>H.A. 210 kg/cm2 Zapata ( t=0,30 m) y pedestal t=0.55 m, con acero principal en ambas direcciones de Ø3/8" @ 0.20 m. Ver más detalles en plano</t>
  </si>
  <si>
    <t>Gabinete de protección transformador (ver especificación anexa)</t>
  </si>
  <si>
    <t>Materiales menores control (terminales, breakers, indelebles, rieles tipo DIN, ferules, identificadores de borneras, borneras de corriente, etc.) Pago sujeto a solicitud y facturas</t>
  </si>
  <si>
    <t>Aislador rígido 69 kV</t>
  </si>
  <si>
    <t>Pararrayos 69 kV</t>
  </si>
  <si>
    <t>Transformador de tensión 7.2 kV</t>
  </si>
  <si>
    <t>Terminal compresión 350 kcmil 2H bimetal</t>
  </si>
  <si>
    <t>Terminal compresión 4/0 AWG estañado, 1 agujero p/tornillo 1/2"</t>
  </si>
  <si>
    <t>Tornillo galvanizado cabeza hexagonal completo 1/2"X2" (dos arandelas planas, una de presión y tuerca)</t>
  </si>
  <si>
    <t>Soporte doble p/cable aislador rígido vertical</t>
  </si>
  <si>
    <t>Soporte doble p/cable aislador rígido horizontal polímero</t>
  </si>
  <si>
    <t xml:space="preserve">Soporte doble p/cable aislador rígido horizontal </t>
  </si>
  <si>
    <t>Soporte doble p/cable aislador suspensión</t>
  </si>
  <si>
    <t>km</t>
  </si>
  <si>
    <t>Aplicación pintura amarillo tráfico</t>
  </si>
  <si>
    <t>Bases punto de medida AT (3 unds)</t>
  </si>
  <si>
    <t>Movimiento de transformador de potencia</t>
  </si>
  <si>
    <t xml:space="preserve">Estructura metálica galvanizada para soporte seccionador 69 kV </t>
  </si>
  <si>
    <t>Estructura metálica galvanizada para soporte Transformador corriente 69 kV</t>
  </si>
  <si>
    <t>Estructura metálica galvanizada para soporte Transformador de tensión 69 kV</t>
  </si>
  <si>
    <t>Punta Franklin captadora simple. Material de cobre, diám.=16 mm, longitud de punta captadora=500mm. Incluir soportes vertical de puntas captadoras  y adaptador para cable bajante sección circular de conductor=120mm2.</t>
  </si>
  <si>
    <t>Demolición 1.4 metros lineal muro de verja (2 líneas block 6 SNP) y desmonte de malla ciclónica (h=1.80 metros)</t>
  </si>
  <si>
    <t>Aplicación pintura semigloss azul Edenorte para columnas de puerta acceso</t>
  </si>
  <si>
    <t>Terminación de superficies a calzada</t>
  </si>
  <si>
    <t>H.A. 180 kg/cm2 para calzada peatonal, (1.40x11.00 m) espesor 0.10 m. incluye encofrado y desencofrado.</t>
  </si>
  <si>
    <t>Pintura Amarillo Trafico a superficies visibles</t>
  </si>
  <si>
    <t>Reparación de malla ciclónica (h=1.80mts) de verja. Incluye reemplazo de accesorios para su instalación</t>
  </si>
  <si>
    <t>Línea 69kV</t>
  </si>
  <si>
    <t>Materiales</t>
  </si>
  <si>
    <t>Mano de obra</t>
  </si>
  <si>
    <t>Tendido trifásico cable 477MCM</t>
  </si>
  <si>
    <t>Movimiento de transformador de potencia armado. Distancia de dezplazamiento=76 metros, peso total de tranformador=31,050kg</t>
  </si>
  <si>
    <t>Pintura casetas y muros existentes</t>
  </si>
  <si>
    <t>suministro y aplicación pintura blanco 00 semigloss a casetas y muros de verja existentes</t>
  </si>
  <si>
    <t>Suministro de Cable 477 MCM</t>
  </si>
  <si>
    <t>Dirección Técnica y Responsabilidad</t>
  </si>
  <si>
    <t>Gastos Administrativos</t>
  </si>
  <si>
    <t>Transporte</t>
  </si>
  <si>
    <t>Subtotal 1</t>
  </si>
  <si>
    <t>Total  general</t>
  </si>
  <si>
    <t xml:space="preserve">Total suministro materiales </t>
  </si>
  <si>
    <t>Total  Obra civil y Tendido Línea 69 kV</t>
  </si>
  <si>
    <t>Caseta para materiales</t>
  </si>
  <si>
    <t>Suministro e instalación de malla ciclónica 6', incluye Tubo HG de 1'' x20', tubo ligero de 1 1/2''x15', alambre galvanizado #14, copas, abrazaderas, apoyos adicionales en los extremos por cambio de dirección y demás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</si>
</sst>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164" formatCode="&quot;RD$&quot;#,##0.00"/>
    <numFmt numFmtId="165" formatCode="_([$RD$-1C0A]* #,##0.00_);_([$RD$-1C0A]* \(#,##0.00\);_([$RD$-1C0A]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40"/>
        <bgColor indexed="40"/>
      </patternFill>
    </fill>
    <fill>
      <patternFill patternType="solid">
        <fgColor indexed="4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2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left" vertical="center"/>
    </xf>
    <xf numFmtId="164" fontId="4" fillId="6" borderId="1" xfId="1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165" fontId="8" fillId="0" borderId="7" xfId="0" applyNumberFormat="1" applyFont="1" applyBorder="1" applyAlignment="1">
      <alignment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2" fontId="4" fillId="5" borderId="3" xfId="0" applyNumberFormat="1" applyFont="1" applyFill="1" applyBorder="1" applyAlignment="1">
      <alignment horizontal="center" vertical="center"/>
    </xf>
    <xf numFmtId="44" fontId="4" fillId="6" borderId="3" xfId="1" applyNumberFormat="1" applyFont="1" applyFill="1" applyBorder="1" applyAlignment="1">
      <alignment horizontal="left" vertical="center"/>
    </xf>
    <xf numFmtId="2" fontId="3" fillId="0" borderId="11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/>
    </xf>
    <xf numFmtId="165" fontId="8" fillId="0" borderId="7" xfId="0" applyNumberFormat="1" applyFont="1" applyBorder="1" applyAlignment="1">
      <alignment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2" fontId="3" fillId="0" borderId="3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65" fontId="3" fillId="0" borderId="3" xfId="0" applyNumberFormat="1" applyFont="1" applyBorder="1" applyAlignment="1">
      <alignment vertical="center"/>
    </xf>
    <xf numFmtId="165" fontId="8" fillId="0" borderId="12" xfId="0" applyNumberFormat="1" applyFont="1" applyBorder="1" applyAlignment="1">
      <alignment vertical="center"/>
    </xf>
    <xf numFmtId="2" fontId="3" fillId="3" borderId="10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vertical="center"/>
    </xf>
    <xf numFmtId="165" fontId="8" fillId="3" borderId="13" xfId="0" applyNumberFormat="1" applyFont="1" applyFill="1" applyBorder="1" applyAlignment="1">
      <alignment vertical="center"/>
    </xf>
    <xf numFmtId="2" fontId="3" fillId="0" borderId="24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 wrapText="1"/>
    </xf>
    <xf numFmtId="2" fontId="3" fillId="0" borderId="22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 wrapText="1"/>
    </xf>
    <xf numFmtId="2" fontId="3" fillId="3" borderId="15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vertical="center"/>
    </xf>
    <xf numFmtId="165" fontId="8" fillId="3" borderId="17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2" fontId="4" fillId="5" borderId="25" xfId="0" applyNumberFormat="1" applyFont="1" applyFill="1" applyBorder="1" applyAlignment="1">
      <alignment horizontal="center" vertical="center"/>
    </xf>
    <xf numFmtId="44" fontId="4" fillId="6" borderId="12" xfId="1" applyNumberFormat="1" applyFont="1" applyFill="1" applyBorder="1" applyAlignment="1">
      <alignment horizontal="left" vertical="center"/>
    </xf>
    <xf numFmtId="2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164" fontId="4" fillId="6" borderId="7" xfId="1" applyNumberFormat="1" applyFont="1" applyFill="1" applyBorder="1" applyAlignment="1">
      <alignment horizontal="left" vertical="center"/>
    </xf>
    <xf numFmtId="2" fontId="4" fillId="0" borderId="6" xfId="0" applyNumberFormat="1" applyFont="1" applyFill="1" applyBorder="1" applyAlignment="1">
      <alignment horizontal="center" vertical="center"/>
    </xf>
    <xf numFmtId="164" fontId="4" fillId="6" borderId="23" xfId="1" applyNumberFormat="1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2" fontId="4" fillId="6" borderId="21" xfId="0" applyNumberFormat="1" applyFont="1" applyFill="1" applyBorder="1" applyAlignment="1">
      <alignment horizontal="right" vertical="center"/>
    </xf>
    <xf numFmtId="2" fontId="4" fillId="6" borderId="15" xfId="0" applyNumberFormat="1" applyFont="1" applyFill="1" applyBorder="1" applyAlignment="1">
      <alignment horizontal="right" vertical="center"/>
    </xf>
    <xf numFmtId="2" fontId="4" fillId="6" borderId="16" xfId="0" applyNumberFormat="1" applyFont="1" applyFill="1" applyBorder="1" applyAlignment="1">
      <alignment horizontal="right" vertical="center"/>
    </xf>
    <xf numFmtId="2" fontId="4" fillId="0" borderId="8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6" borderId="8" xfId="0" applyNumberFormat="1" applyFont="1" applyFill="1" applyBorder="1" applyAlignment="1">
      <alignment horizontal="right" vertical="center"/>
    </xf>
    <xf numFmtId="2" fontId="4" fillId="6" borderId="10" xfId="0" applyNumberFormat="1" applyFont="1" applyFill="1" applyBorder="1" applyAlignment="1">
      <alignment horizontal="right" vertical="center"/>
    </xf>
    <xf numFmtId="2" fontId="4" fillId="6" borderId="9" xfId="0" applyNumberFormat="1" applyFont="1" applyFill="1" applyBorder="1" applyAlignment="1">
      <alignment horizontal="right" vertic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6" borderId="28" xfId="0" applyNumberFormat="1" applyFont="1" applyFill="1" applyBorder="1" applyAlignment="1">
      <alignment horizontal="right" vertical="center"/>
    </xf>
    <xf numFmtId="2" fontId="4" fillId="6" borderId="29" xfId="0" applyNumberFormat="1" applyFont="1" applyFill="1" applyBorder="1" applyAlignment="1">
      <alignment horizontal="right" vertical="center"/>
    </xf>
    <xf numFmtId="2" fontId="4" fillId="6" borderId="30" xfId="0" applyNumberFormat="1" applyFont="1" applyFill="1" applyBorder="1" applyAlignment="1">
      <alignment horizontal="right" vertical="center"/>
    </xf>
    <xf numFmtId="2" fontId="10" fillId="6" borderId="8" xfId="0" applyNumberFormat="1" applyFont="1" applyFill="1" applyBorder="1" applyAlignment="1">
      <alignment horizontal="right" vertical="center"/>
    </xf>
    <xf numFmtId="2" fontId="10" fillId="6" borderId="10" xfId="0" applyNumberFormat="1" applyFont="1" applyFill="1" applyBorder="1" applyAlignment="1">
      <alignment horizontal="right" vertical="center"/>
    </xf>
    <xf numFmtId="2" fontId="10" fillId="6" borderId="9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</cellXfs>
  <cellStyles count="3">
    <cellStyle name="Moneda 2 2" xfId="1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45"/>
  <sheetViews>
    <sheetView showGridLines="0" tabSelected="1" zoomScaleNormal="100" zoomScaleSheetLayoutView="100" workbookViewId="0">
      <selection activeCell="B23" sqref="B23"/>
    </sheetView>
  </sheetViews>
  <sheetFormatPr baseColWidth="10" defaultColWidth="11.42578125" defaultRowHeight="12.75" x14ac:dyDescent="0.25"/>
  <cols>
    <col min="1" max="1" width="5.42578125" style="9" bestFit="1" customWidth="1"/>
    <col min="2" max="2" width="68.28515625" style="9" bestFit="1" customWidth="1"/>
    <col min="3" max="3" width="7.85546875" style="21" bestFit="1" customWidth="1"/>
    <col min="4" max="4" width="6.42578125" style="21" bestFit="1" customWidth="1"/>
    <col min="5" max="5" width="15.5703125" style="9" bestFit="1" customWidth="1"/>
    <col min="6" max="6" width="16.7109375" style="9" bestFit="1" customWidth="1"/>
    <col min="7" max="8" width="11.42578125" style="9"/>
    <col min="9" max="9" width="14.140625" style="9" bestFit="1" customWidth="1"/>
    <col min="10" max="16384" width="11.42578125" style="9"/>
  </cols>
  <sheetData>
    <row r="1" spans="1:6" x14ac:dyDescent="0.25">
      <c r="A1" s="91" t="s">
        <v>103</v>
      </c>
      <c r="B1" s="92"/>
      <c r="C1" s="92"/>
      <c r="D1" s="92"/>
      <c r="E1" s="92"/>
      <c r="F1" s="93"/>
    </row>
    <row r="2" spans="1:6" ht="13.5" thickBot="1" x14ac:dyDescent="0.3">
      <c r="A2" s="94"/>
      <c r="B2" s="95"/>
      <c r="C2" s="95"/>
      <c r="D2" s="95"/>
      <c r="E2" s="95"/>
      <c r="F2" s="96"/>
    </row>
    <row r="3" spans="1:6" x14ac:dyDescent="0.25">
      <c r="A3" s="64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66" t="s">
        <v>5</v>
      </c>
    </row>
    <row r="4" spans="1:6" x14ac:dyDescent="0.25">
      <c r="A4" s="53">
        <v>1</v>
      </c>
      <c r="B4" s="40" t="s">
        <v>6</v>
      </c>
      <c r="C4" s="57"/>
      <c r="D4" s="41"/>
      <c r="E4" s="58"/>
      <c r="F4" s="59"/>
    </row>
    <row r="5" spans="1:6" x14ac:dyDescent="0.25">
      <c r="A5" s="44">
        <f>A4+0.01</f>
        <v>1.01</v>
      </c>
      <c r="B5" s="54" t="s">
        <v>127</v>
      </c>
      <c r="C5" s="46">
        <v>1</v>
      </c>
      <c r="D5" s="47" t="s">
        <v>7</v>
      </c>
      <c r="E5" s="55">
        <v>0</v>
      </c>
      <c r="F5" s="56">
        <f>E5*C5</f>
        <v>0</v>
      </c>
    </row>
    <row r="6" spans="1:6" x14ac:dyDescent="0.25">
      <c r="A6" s="44">
        <f t="shared" ref="A6:A13" si="0">A5+0.01</f>
        <v>1.02</v>
      </c>
      <c r="B6" s="45" t="s">
        <v>209</v>
      </c>
      <c r="C6" s="35">
        <v>1</v>
      </c>
      <c r="D6" s="37" t="s">
        <v>7</v>
      </c>
      <c r="E6" s="48">
        <v>0</v>
      </c>
      <c r="F6" s="43">
        <f t="shared" ref="F6:F72" si="1">E6*C6</f>
        <v>0</v>
      </c>
    </row>
    <row r="7" spans="1:6" x14ac:dyDescent="0.25">
      <c r="A7" s="53">
        <v>2</v>
      </c>
      <c r="B7" s="40" t="s">
        <v>31</v>
      </c>
      <c r="C7" s="57"/>
      <c r="D7" s="41"/>
      <c r="E7" s="58"/>
      <c r="F7" s="59"/>
    </row>
    <row r="8" spans="1:6" x14ac:dyDescent="0.25">
      <c r="A8" s="44">
        <f>A7+0.01</f>
        <v>2.0099999999999998</v>
      </c>
      <c r="B8" s="45" t="s">
        <v>34</v>
      </c>
      <c r="C8" s="35">
        <f>(0.3*0.3*6*6)+(0.3*0.3*29.16*3)</f>
        <v>11.113200000000001</v>
      </c>
      <c r="D8" s="37" t="s">
        <v>35</v>
      </c>
      <c r="E8" s="42">
        <v>0</v>
      </c>
      <c r="F8" s="43">
        <f t="shared" si="1"/>
        <v>0</v>
      </c>
    </row>
    <row r="9" spans="1:6" x14ac:dyDescent="0.25">
      <c r="A9" s="44">
        <f>A8+0.01</f>
        <v>2.0199999999999996</v>
      </c>
      <c r="B9" s="45" t="s">
        <v>33</v>
      </c>
      <c r="C9" s="35">
        <f>C8*1.3</f>
        <v>14.447160000000002</v>
      </c>
      <c r="D9" s="37" t="s">
        <v>35</v>
      </c>
      <c r="E9" s="42">
        <v>0</v>
      </c>
      <c r="F9" s="43">
        <f t="shared" si="1"/>
        <v>0</v>
      </c>
    </row>
    <row r="10" spans="1:6" x14ac:dyDescent="0.25">
      <c r="A10" s="53">
        <v>3</v>
      </c>
      <c r="B10" s="40" t="s">
        <v>8</v>
      </c>
      <c r="C10" s="57"/>
      <c r="D10" s="41"/>
      <c r="E10" s="58"/>
      <c r="F10" s="59"/>
    </row>
    <row r="11" spans="1:6" ht="25.5" x14ac:dyDescent="0.25">
      <c r="A11" s="44">
        <f t="shared" si="0"/>
        <v>3.01</v>
      </c>
      <c r="B11" s="45" t="s">
        <v>128</v>
      </c>
      <c r="C11" s="35">
        <f>779.15*0.5</f>
        <v>389.57499999999999</v>
      </c>
      <c r="D11" s="37" t="s">
        <v>35</v>
      </c>
      <c r="E11" s="42">
        <v>0</v>
      </c>
      <c r="F11" s="43">
        <f t="shared" si="1"/>
        <v>0</v>
      </c>
    </row>
    <row r="12" spans="1:6" x14ac:dyDescent="0.25">
      <c r="A12" s="44">
        <f t="shared" si="0"/>
        <v>3.0199999999999996</v>
      </c>
      <c r="B12" s="45" t="s">
        <v>33</v>
      </c>
      <c r="C12" s="35">
        <f>C11*1.3</f>
        <v>506.44749999999999</v>
      </c>
      <c r="D12" s="37" t="s">
        <v>35</v>
      </c>
      <c r="E12" s="42">
        <v>0</v>
      </c>
      <c r="F12" s="43">
        <f t="shared" si="1"/>
        <v>0</v>
      </c>
    </row>
    <row r="13" spans="1:6" ht="25.5" x14ac:dyDescent="0.25">
      <c r="A13" s="44">
        <f t="shared" si="0"/>
        <v>3.0299999999999994</v>
      </c>
      <c r="B13" s="45" t="s">
        <v>134</v>
      </c>
      <c r="C13" s="33">
        <f>779.15*0.75</f>
        <v>584.36249999999995</v>
      </c>
      <c r="D13" s="34" t="s">
        <v>35</v>
      </c>
      <c r="E13" s="42">
        <v>0</v>
      </c>
      <c r="F13" s="43">
        <f t="shared" si="1"/>
        <v>0</v>
      </c>
    </row>
    <row r="14" spans="1:6" x14ac:dyDescent="0.25">
      <c r="A14" s="53">
        <v>4</v>
      </c>
      <c r="B14" s="40" t="s">
        <v>36</v>
      </c>
      <c r="C14" s="57"/>
      <c r="D14" s="41"/>
      <c r="E14" s="58"/>
      <c r="F14" s="59"/>
    </row>
    <row r="15" spans="1:6" ht="25.5" x14ac:dyDescent="0.25">
      <c r="A15" s="44">
        <f>A14+0.01</f>
        <v>4.01</v>
      </c>
      <c r="B15" s="45" t="s">
        <v>188</v>
      </c>
      <c r="C15" s="35">
        <f>1.4*0.4</f>
        <v>0.55999999999999994</v>
      </c>
      <c r="D15" s="37" t="s">
        <v>38</v>
      </c>
      <c r="E15" s="42">
        <v>0</v>
      </c>
      <c r="F15" s="43">
        <f>E15*C15</f>
        <v>0</v>
      </c>
    </row>
    <row r="16" spans="1:6" x14ac:dyDescent="0.25">
      <c r="A16" s="44">
        <f t="shared" ref="A16:A36" si="2">A15+0.01</f>
        <v>4.0199999999999996</v>
      </c>
      <c r="B16" s="45" t="s">
        <v>129</v>
      </c>
      <c r="C16" s="35">
        <f>0.25*0.65*32</f>
        <v>5.2</v>
      </c>
      <c r="D16" s="37" t="s">
        <v>35</v>
      </c>
      <c r="E16" s="42">
        <v>0</v>
      </c>
      <c r="F16" s="43">
        <f t="shared" si="1"/>
        <v>0</v>
      </c>
    </row>
    <row r="17" spans="1:6" x14ac:dyDescent="0.25">
      <c r="A17" s="44">
        <f t="shared" si="2"/>
        <v>4.0299999999999994</v>
      </c>
      <c r="B17" s="45" t="s">
        <v>33</v>
      </c>
      <c r="C17" s="33">
        <f>C16*1.3+(0.56*0.15)</f>
        <v>6.8440000000000003</v>
      </c>
      <c r="D17" s="37" t="s">
        <v>35</v>
      </c>
      <c r="E17" s="42">
        <v>0</v>
      </c>
      <c r="F17" s="43">
        <f t="shared" si="1"/>
        <v>0</v>
      </c>
    </row>
    <row r="18" spans="1:6" ht="25.5" x14ac:dyDescent="0.25">
      <c r="A18" s="44">
        <f t="shared" si="2"/>
        <v>4.0399999999999991</v>
      </c>
      <c r="B18" s="45" t="s">
        <v>130</v>
      </c>
      <c r="C18" s="33">
        <f>0.25*0.45*32</f>
        <v>3.6</v>
      </c>
      <c r="D18" s="34" t="s">
        <v>35</v>
      </c>
      <c r="E18" s="42">
        <v>0</v>
      </c>
      <c r="F18" s="43">
        <f t="shared" si="1"/>
        <v>0</v>
      </c>
    </row>
    <row r="19" spans="1:6" x14ac:dyDescent="0.25">
      <c r="A19" s="44">
        <f t="shared" si="2"/>
        <v>4.0499999999999989</v>
      </c>
      <c r="B19" s="45" t="s">
        <v>104</v>
      </c>
      <c r="C19" s="33">
        <f>0.2*32</f>
        <v>6.4</v>
      </c>
      <c r="D19" s="37" t="s">
        <v>38</v>
      </c>
      <c r="E19" s="42">
        <v>0</v>
      </c>
      <c r="F19" s="43">
        <f t="shared" si="1"/>
        <v>0</v>
      </c>
    </row>
    <row r="20" spans="1:6" x14ac:dyDescent="0.25">
      <c r="A20" s="44">
        <f t="shared" si="2"/>
        <v>4.0599999999999987</v>
      </c>
      <c r="B20" s="45" t="s">
        <v>37</v>
      </c>
      <c r="C20" s="33">
        <f>0.6*32</f>
        <v>19.2</v>
      </c>
      <c r="D20" s="37" t="s">
        <v>38</v>
      </c>
      <c r="E20" s="42">
        <v>0</v>
      </c>
      <c r="F20" s="43">
        <f t="shared" si="1"/>
        <v>0</v>
      </c>
    </row>
    <row r="21" spans="1:6" x14ac:dyDescent="0.25">
      <c r="A21" s="44">
        <f t="shared" si="2"/>
        <v>4.0699999999999985</v>
      </c>
      <c r="B21" s="45" t="s">
        <v>131</v>
      </c>
      <c r="C21" s="33">
        <f>0.007*32</f>
        <v>0.224</v>
      </c>
      <c r="D21" s="37" t="s">
        <v>35</v>
      </c>
      <c r="E21" s="48">
        <v>0</v>
      </c>
      <c r="F21" s="43">
        <f t="shared" si="1"/>
        <v>0</v>
      </c>
    </row>
    <row r="22" spans="1:6" ht="38.25" x14ac:dyDescent="0.25">
      <c r="A22" s="44">
        <f t="shared" si="2"/>
        <v>4.0799999999999983</v>
      </c>
      <c r="B22" s="45" t="s">
        <v>210</v>
      </c>
      <c r="C22" s="33">
        <v>54</v>
      </c>
      <c r="D22" s="37" t="s">
        <v>39</v>
      </c>
      <c r="E22" s="42">
        <v>0</v>
      </c>
      <c r="F22" s="43">
        <f t="shared" si="1"/>
        <v>0</v>
      </c>
    </row>
    <row r="23" spans="1:6" ht="25.5" x14ac:dyDescent="0.25">
      <c r="A23" s="44">
        <f t="shared" si="2"/>
        <v>4.0899999999999981</v>
      </c>
      <c r="B23" s="45" t="s">
        <v>132</v>
      </c>
      <c r="C23" s="33">
        <v>54</v>
      </c>
      <c r="D23" s="37" t="s">
        <v>39</v>
      </c>
      <c r="E23" s="42">
        <v>0</v>
      </c>
      <c r="F23" s="43">
        <f t="shared" si="1"/>
        <v>0</v>
      </c>
    </row>
    <row r="24" spans="1:6" x14ac:dyDescent="0.25">
      <c r="A24" s="44">
        <f t="shared" si="2"/>
        <v>4.0999999999999979</v>
      </c>
      <c r="B24" s="49" t="s">
        <v>40</v>
      </c>
      <c r="C24" s="33">
        <f>1.2*32</f>
        <v>38.4</v>
      </c>
      <c r="D24" s="37" t="s">
        <v>38</v>
      </c>
      <c r="E24" s="42">
        <v>0</v>
      </c>
      <c r="F24" s="43">
        <f t="shared" si="1"/>
        <v>0</v>
      </c>
    </row>
    <row r="25" spans="1:6" x14ac:dyDescent="0.25">
      <c r="A25" s="44">
        <f t="shared" si="2"/>
        <v>4.1099999999999977</v>
      </c>
      <c r="B25" s="49" t="s">
        <v>41</v>
      </c>
      <c r="C25" s="33">
        <f>1.2*32</f>
        <v>38.4</v>
      </c>
      <c r="D25" s="36" t="s">
        <v>38</v>
      </c>
      <c r="E25" s="42">
        <v>0</v>
      </c>
      <c r="F25" s="43">
        <f t="shared" si="1"/>
        <v>0</v>
      </c>
    </row>
    <row r="26" spans="1:6" x14ac:dyDescent="0.25">
      <c r="A26" s="44">
        <f t="shared" si="2"/>
        <v>4.1199999999999974</v>
      </c>
      <c r="B26" s="49" t="s">
        <v>44</v>
      </c>
      <c r="C26" s="33">
        <f>1.2*32</f>
        <v>38.4</v>
      </c>
      <c r="D26" s="36" t="s">
        <v>38</v>
      </c>
      <c r="E26" s="42">
        <v>0</v>
      </c>
      <c r="F26" s="43">
        <f t="shared" si="1"/>
        <v>0</v>
      </c>
    </row>
    <row r="27" spans="1:6" x14ac:dyDescent="0.25">
      <c r="A27" s="44">
        <f t="shared" si="2"/>
        <v>4.1299999999999972</v>
      </c>
      <c r="B27" s="45" t="s">
        <v>105</v>
      </c>
      <c r="C27" s="33">
        <f>1*1*0.65*2</f>
        <v>1.3</v>
      </c>
      <c r="D27" s="37" t="s">
        <v>35</v>
      </c>
      <c r="E27" s="42">
        <v>0</v>
      </c>
      <c r="F27" s="43">
        <f t="shared" si="1"/>
        <v>0</v>
      </c>
    </row>
    <row r="28" spans="1:6" x14ac:dyDescent="0.25">
      <c r="A28" s="44">
        <f t="shared" si="2"/>
        <v>4.139999999999997</v>
      </c>
      <c r="B28" s="45" t="s">
        <v>33</v>
      </c>
      <c r="C28" s="33">
        <f>C27*1.3</f>
        <v>1.6900000000000002</v>
      </c>
      <c r="D28" s="37" t="s">
        <v>35</v>
      </c>
      <c r="E28" s="42">
        <v>0</v>
      </c>
      <c r="F28" s="43">
        <f t="shared" si="1"/>
        <v>0</v>
      </c>
    </row>
    <row r="29" spans="1:6" ht="38.25" x14ac:dyDescent="0.25">
      <c r="A29" s="44">
        <f t="shared" si="2"/>
        <v>4.1499999999999968</v>
      </c>
      <c r="B29" s="45" t="s">
        <v>133</v>
      </c>
      <c r="C29" s="33">
        <f>1*1*0.25*2</f>
        <v>0.5</v>
      </c>
      <c r="D29" s="37" t="s">
        <v>35</v>
      </c>
      <c r="E29" s="42">
        <v>0</v>
      </c>
      <c r="F29" s="43">
        <f t="shared" si="1"/>
        <v>0</v>
      </c>
    </row>
    <row r="30" spans="1:6" ht="38.25" x14ac:dyDescent="0.25">
      <c r="A30" s="44">
        <f t="shared" si="2"/>
        <v>4.1599999999999966</v>
      </c>
      <c r="B30" s="45" t="s">
        <v>135</v>
      </c>
      <c r="C30" s="33">
        <f>0.3*0.3*2.8*2</f>
        <v>0.504</v>
      </c>
      <c r="D30" s="36" t="s">
        <v>35</v>
      </c>
      <c r="E30" s="42">
        <v>0</v>
      </c>
      <c r="F30" s="43">
        <f t="shared" si="1"/>
        <v>0</v>
      </c>
    </row>
    <row r="31" spans="1:6" x14ac:dyDescent="0.25">
      <c r="A31" s="44">
        <f t="shared" si="2"/>
        <v>4.1699999999999964</v>
      </c>
      <c r="B31" s="49" t="s">
        <v>42</v>
      </c>
      <c r="C31" s="33">
        <f>(0.3*4)*2.4*2</f>
        <v>5.76</v>
      </c>
      <c r="D31" s="34" t="s">
        <v>38</v>
      </c>
      <c r="E31" s="42">
        <v>0</v>
      </c>
      <c r="F31" s="43">
        <f t="shared" si="1"/>
        <v>0</v>
      </c>
    </row>
    <row r="32" spans="1:6" x14ac:dyDescent="0.25">
      <c r="A32" s="44">
        <f t="shared" si="2"/>
        <v>4.1799999999999962</v>
      </c>
      <c r="B32" s="45" t="s">
        <v>43</v>
      </c>
      <c r="C32" s="33">
        <f>(0.3*4)*2.4*2</f>
        <v>5.76</v>
      </c>
      <c r="D32" s="36" t="s">
        <v>38</v>
      </c>
      <c r="E32" s="42">
        <v>0</v>
      </c>
      <c r="F32" s="43">
        <f t="shared" si="1"/>
        <v>0</v>
      </c>
    </row>
    <row r="33" spans="1:6" x14ac:dyDescent="0.25">
      <c r="A33" s="44">
        <f t="shared" si="2"/>
        <v>4.1899999999999959</v>
      </c>
      <c r="B33" s="49" t="s">
        <v>189</v>
      </c>
      <c r="C33" s="33">
        <f>(0.3*4)*2.4*2</f>
        <v>5.76</v>
      </c>
      <c r="D33" s="37" t="s">
        <v>38</v>
      </c>
      <c r="E33" s="42">
        <v>0</v>
      </c>
      <c r="F33" s="43">
        <f t="shared" si="1"/>
        <v>0</v>
      </c>
    </row>
    <row r="34" spans="1:6" ht="25.5" x14ac:dyDescent="0.25">
      <c r="A34" s="44">
        <f t="shared" si="2"/>
        <v>4.1999999999999957</v>
      </c>
      <c r="B34" s="45" t="s">
        <v>191</v>
      </c>
      <c r="C34" s="33">
        <f>1.4*11*0.1</f>
        <v>1.54</v>
      </c>
      <c r="D34" s="37" t="s">
        <v>35</v>
      </c>
      <c r="E34" s="42">
        <v>0</v>
      </c>
      <c r="F34" s="43">
        <f t="shared" si="1"/>
        <v>0</v>
      </c>
    </row>
    <row r="35" spans="1:6" x14ac:dyDescent="0.25">
      <c r="A35" s="44">
        <f t="shared" si="2"/>
        <v>4.2099999999999955</v>
      </c>
      <c r="B35" s="50" t="s">
        <v>190</v>
      </c>
      <c r="C35" s="33">
        <v>1</v>
      </c>
      <c r="D35" s="37" t="s">
        <v>45</v>
      </c>
      <c r="E35" s="42">
        <v>0</v>
      </c>
      <c r="F35" s="43">
        <f>E35*C35</f>
        <v>0</v>
      </c>
    </row>
    <row r="36" spans="1:6" ht="25.5" x14ac:dyDescent="0.25">
      <c r="A36" s="44">
        <f t="shared" si="2"/>
        <v>4.2199999999999953</v>
      </c>
      <c r="B36" s="50" t="s">
        <v>193</v>
      </c>
      <c r="C36" s="33">
        <v>10</v>
      </c>
      <c r="D36" s="37" t="s">
        <v>39</v>
      </c>
      <c r="E36" s="42">
        <v>0</v>
      </c>
      <c r="F36" s="43">
        <f>E36*C36</f>
        <v>0</v>
      </c>
    </row>
    <row r="37" spans="1:6" x14ac:dyDescent="0.25">
      <c r="A37" s="53">
        <v>5</v>
      </c>
      <c r="B37" s="40" t="s">
        <v>106</v>
      </c>
      <c r="C37" s="57"/>
      <c r="D37" s="41"/>
      <c r="E37" s="58"/>
      <c r="F37" s="59"/>
    </row>
    <row r="38" spans="1:6" ht="38.25" x14ac:dyDescent="0.25">
      <c r="A38" s="44">
        <f>A37+0.01</f>
        <v>5.01</v>
      </c>
      <c r="B38" s="45" t="s">
        <v>136</v>
      </c>
      <c r="C38" s="33">
        <v>1</v>
      </c>
      <c r="D38" s="37" t="s">
        <v>45</v>
      </c>
      <c r="E38" s="42">
        <v>0</v>
      </c>
      <c r="F38" s="43">
        <f t="shared" si="1"/>
        <v>0</v>
      </c>
    </row>
    <row r="39" spans="1:6" x14ac:dyDescent="0.25">
      <c r="A39" s="44">
        <f>A38+0.01</f>
        <v>5.0199999999999996</v>
      </c>
      <c r="B39" s="45" t="s">
        <v>107</v>
      </c>
      <c r="C39" s="33">
        <v>1</v>
      </c>
      <c r="D39" s="37" t="s">
        <v>45</v>
      </c>
      <c r="E39" s="42">
        <v>0</v>
      </c>
      <c r="F39" s="43">
        <f t="shared" si="1"/>
        <v>0</v>
      </c>
    </row>
    <row r="40" spans="1:6" x14ac:dyDescent="0.25">
      <c r="A40" s="53">
        <v>6</v>
      </c>
      <c r="B40" s="40" t="s">
        <v>108</v>
      </c>
      <c r="C40" s="57"/>
      <c r="D40" s="41"/>
      <c r="E40" s="58"/>
      <c r="F40" s="59"/>
    </row>
    <row r="41" spans="1:6" ht="38.25" x14ac:dyDescent="0.25">
      <c r="A41" s="44">
        <f>A40+0.01</f>
        <v>6.01</v>
      </c>
      <c r="B41" s="45" t="s">
        <v>137</v>
      </c>
      <c r="C41" s="33">
        <f>8*31*0.2</f>
        <v>49.6</v>
      </c>
      <c r="D41" s="37" t="s">
        <v>46</v>
      </c>
      <c r="E41" s="42">
        <v>0</v>
      </c>
      <c r="F41" s="43">
        <f t="shared" si="1"/>
        <v>0</v>
      </c>
    </row>
    <row r="42" spans="1:6" x14ac:dyDescent="0.25">
      <c r="A42" s="53">
        <v>7</v>
      </c>
      <c r="B42" s="40" t="s">
        <v>109</v>
      </c>
      <c r="C42" s="57"/>
      <c r="D42" s="41"/>
      <c r="E42" s="58"/>
      <c r="F42" s="59"/>
    </row>
    <row r="43" spans="1:6" x14ac:dyDescent="0.25">
      <c r="A43" s="44">
        <f>A42+0.01</f>
        <v>7.01</v>
      </c>
      <c r="B43" s="45" t="s">
        <v>138</v>
      </c>
      <c r="C43" s="33">
        <f>0.074*(8.4+16.3+7.9+30.9)</f>
        <v>4.6989999999999998</v>
      </c>
      <c r="D43" s="34" t="s">
        <v>35</v>
      </c>
      <c r="E43" s="42">
        <v>0</v>
      </c>
      <c r="F43" s="43">
        <f t="shared" si="1"/>
        <v>0</v>
      </c>
    </row>
    <row r="44" spans="1:6" x14ac:dyDescent="0.25">
      <c r="A44" s="44">
        <f>A43+0.01</f>
        <v>7.02</v>
      </c>
      <c r="B44" s="45" t="s">
        <v>47</v>
      </c>
      <c r="C44" s="33">
        <v>1</v>
      </c>
      <c r="D44" s="34" t="s">
        <v>45</v>
      </c>
      <c r="E44" s="42">
        <v>0</v>
      </c>
      <c r="F44" s="43">
        <f t="shared" si="1"/>
        <v>0</v>
      </c>
    </row>
    <row r="45" spans="1:6" x14ac:dyDescent="0.25">
      <c r="A45" s="44">
        <f>A44+0.01</f>
        <v>7.0299999999999994</v>
      </c>
      <c r="B45" s="45" t="s">
        <v>181</v>
      </c>
      <c r="C45" s="33">
        <v>15.88</v>
      </c>
      <c r="D45" s="34" t="s">
        <v>38</v>
      </c>
      <c r="E45" s="42">
        <v>0</v>
      </c>
      <c r="F45" s="43">
        <f t="shared" si="1"/>
        <v>0</v>
      </c>
    </row>
    <row r="46" spans="1:6" x14ac:dyDescent="0.25">
      <c r="A46" s="53">
        <v>8</v>
      </c>
      <c r="B46" s="40" t="s">
        <v>48</v>
      </c>
      <c r="C46" s="57"/>
      <c r="D46" s="41"/>
      <c r="E46" s="58"/>
      <c r="F46" s="59"/>
    </row>
    <row r="47" spans="1:6" ht="25.5" x14ac:dyDescent="0.25">
      <c r="A47" s="44">
        <f>A46+0.01</f>
        <v>8.01</v>
      </c>
      <c r="B47" s="45" t="s">
        <v>139</v>
      </c>
      <c r="C47" s="33">
        <f>85.57*0.6*0.1</f>
        <v>5.1341999999999999</v>
      </c>
      <c r="D47" s="37" t="s">
        <v>35</v>
      </c>
      <c r="E47" s="42">
        <v>0</v>
      </c>
      <c r="F47" s="43">
        <f t="shared" si="1"/>
        <v>0</v>
      </c>
    </row>
    <row r="48" spans="1:6" x14ac:dyDescent="0.25">
      <c r="A48" s="44">
        <f>A47+0.01</f>
        <v>8.02</v>
      </c>
      <c r="B48" s="45" t="s">
        <v>47</v>
      </c>
      <c r="C48" s="33">
        <v>1</v>
      </c>
      <c r="D48" s="37" t="s">
        <v>45</v>
      </c>
      <c r="E48" s="48">
        <v>0</v>
      </c>
      <c r="F48" s="43">
        <f t="shared" si="1"/>
        <v>0</v>
      </c>
    </row>
    <row r="49" spans="1:6" x14ac:dyDescent="0.25">
      <c r="A49" s="53">
        <v>9</v>
      </c>
      <c r="B49" s="40" t="s">
        <v>111</v>
      </c>
      <c r="C49" s="57"/>
      <c r="D49" s="41"/>
      <c r="E49" s="58"/>
      <c r="F49" s="59"/>
    </row>
    <row r="50" spans="1:6" x14ac:dyDescent="0.25">
      <c r="A50" s="44">
        <f>A49+0.01</f>
        <v>9.01</v>
      </c>
      <c r="B50" s="45" t="s">
        <v>140</v>
      </c>
      <c r="C50" s="33">
        <f>1.1*1.1*1.85*8</f>
        <v>17.908000000000005</v>
      </c>
      <c r="D50" s="34" t="s">
        <v>9</v>
      </c>
      <c r="E50" s="42">
        <v>0</v>
      </c>
      <c r="F50" s="43">
        <f t="shared" si="1"/>
        <v>0</v>
      </c>
    </row>
    <row r="51" spans="1:6" x14ac:dyDescent="0.25">
      <c r="A51" s="44">
        <f t="shared" ref="A51:A56" si="3">A50+0.01</f>
        <v>9.02</v>
      </c>
      <c r="B51" s="45" t="s">
        <v>141</v>
      </c>
      <c r="C51" s="33">
        <f>C50*1.3</f>
        <v>23.280400000000007</v>
      </c>
      <c r="D51" s="34" t="s">
        <v>9</v>
      </c>
      <c r="E51" s="42">
        <v>0</v>
      </c>
      <c r="F51" s="43">
        <f t="shared" si="1"/>
        <v>0</v>
      </c>
    </row>
    <row r="52" spans="1:6" x14ac:dyDescent="0.25">
      <c r="A52" s="44">
        <f t="shared" si="3"/>
        <v>9.0299999999999994</v>
      </c>
      <c r="B52" s="45" t="s">
        <v>142</v>
      </c>
      <c r="C52" s="35">
        <f>1.1*1.1*0.1*8</f>
        <v>0.96800000000000019</v>
      </c>
      <c r="D52" s="37" t="s">
        <v>9</v>
      </c>
      <c r="E52" s="42">
        <v>0</v>
      </c>
      <c r="F52" s="43">
        <f t="shared" si="1"/>
        <v>0</v>
      </c>
    </row>
    <row r="53" spans="1:6" x14ac:dyDescent="0.25">
      <c r="A53" s="44">
        <f t="shared" si="3"/>
        <v>9.0399999999999991</v>
      </c>
      <c r="B53" s="45" t="s">
        <v>143</v>
      </c>
      <c r="C53" s="33">
        <f>1.15*1.75*8</f>
        <v>16.099999999999998</v>
      </c>
      <c r="D53" s="37" t="s">
        <v>9</v>
      </c>
      <c r="E53" s="42">
        <v>0</v>
      </c>
      <c r="F53" s="43">
        <f t="shared" si="1"/>
        <v>0</v>
      </c>
    </row>
    <row r="54" spans="1:6" x14ac:dyDescent="0.25">
      <c r="A54" s="44">
        <f t="shared" si="3"/>
        <v>9.0499999999999989</v>
      </c>
      <c r="B54" s="45" t="s">
        <v>47</v>
      </c>
      <c r="C54" s="33">
        <v>1</v>
      </c>
      <c r="D54" s="37" t="s">
        <v>7</v>
      </c>
      <c r="E54" s="42">
        <v>0</v>
      </c>
      <c r="F54" s="43">
        <f t="shared" si="1"/>
        <v>0</v>
      </c>
    </row>
    <row r="55" spans="1:6" x14ac:dyDescent="0.25">
      <c r="A55" s="44">
        <f t="shared" si="3"/>
        <v>9.0599999999999987</v>
      </c>
      <c r="B55" s="45" t="s">
        <v>144</v>
      </c>
      <c r="C55" s="33">
        <v>10</v>
      </c>
      <c r="D55" s="37" t="s">
        <v>38</v>
      </c>
      <c r="E55" s="42">
        <v>0</v>
      </c>
      <c r="F55" s="43">
        <f t="shared" si="1"/>
        <v>0</v>
      </c>
    </row>
    <row r="56" spans="1:6" x14ac:dyDescent="0.25">
      <c r="A56" s="44">
        <f t="shared" si="3"/>
        <v>9.0699999999999985</v>
      </c>
      <c r="B56" s="45" t="s">
        <v>145</v>
      </c>
      <c r="C56" s="33">
        <f>1.15*0.2*8</f>
        <v>1.8399999999999999</v>
      </c>
      <c r="D56" s="37" t="s">
        <v>35</v>
      </c>
      <c r="E56" s="42">
        <v>0</v>
      </c>
      <c r="F56" s="43">
        <f t="shared" si="1"/>
        <v>0</v>
      </c>
    </row>
    <row r="57" spans="1:6" x14ac:dyDescent="0.25">
      <c r="A57" s="53">
        <v>10</v>
      </c>
      <c r="B57" s="40" t="s">
        <v>16</v>
      </c>
      <c r="C57" s="57"/>
      <c r="D57" s="41"/>
      <c r="E57" s="58"/>
      <c r="F57" s="59"/>
    </row>
    <row r="58" spans="1:6" x14ac:dyDescent="0.25">
      <c r="A58" s="44">
        <f>A57+0.01</f>
        <v>10.01</v>
      </c>
      <c r="B58" s="45" t="s">
        <v>146</v>
      </c>
      <c r="C58" s="33">
        <f>3.1*1.9*0.9</f>
        <v>5.3010000000000002</v>
      </c>
      <c r="D58" s="34" t="s">
        <v>9</v>
      </c>
      <c r="E58" s="42">
        <v>0</v>
      </c>
      <c r="F58" s="43">
        <f t="shared" si="1"/>
        <v>0</v>
      </c>
    </row>
    <row r="59" spans="1:6" x14ac:dyDescent="0.25">
      <c r="A59" s="44">
        <f t="shared" ref="A59:A64" si="4">A58+0.01</f>
        <v>10.02</v>
      </c>
      <c r="B59" s="45" t="s">
        <v>141</v>
      </c>
      <c r="C59" s="33">
        <f>C58*1.3</f>
        <v>6.8913000000000002</v>
      </c>
      <c r="D59" s="34" t="s">
        <v>9</v>
      </c>
      <c r="E59" s="42">
        <v>0</v>
      </c>
      <c r="F59" s="43">
        <f t="shared" si="1"/>
        <v>0</v>
      </c>
    </row>
    <row r="60" spans="1:6" x14ac:dyDescent="0.25">
      <c r="A60" s="44">
        <f t="shared" si="4"/>
        <v>10.029999999999999</v>
      </c>
      <c r="B60" s="45" t="s">
        <v>147</v>
      </c>
      <c r="C60" s="35">
        <f>3.1*1.9*0.3</f>
        <v>1.7669999999999999</v>
      </c>
      <c r="D60" s="36" t="s">
        <v>9</v>
      </c>
      <c r="E60" s="42">
        <v>0</v>
      </c>
      <c r="F60" s="43">
        <f t="shared" si="1"/>
        <v>0</v>
      </c>
    </row>
    <row r="61" spans="1:6" ht="25.5" x14ac:dyDescent="0.25">
      <c r="A61" s="44">
        <f t="shared" si="4"/>
        <v>10.039999999999999</v>
      </c>
      <c r="B61" s="45" t="s">
        <v>148</v>
      </c>
      <c r="C61" s="33">
        <f>(3.1*1.9*0.3)+(0.6*0.6*0.55*4)</f>
        <v>2.5590000000000002</v>
      </c>
      <c r="D61" s="37" t="s">
        <v>9</v>
      </c>
      <c r="E61" s="42">
        <v>0</v>
      </c>
      <c r="F61" s="43">
        <f t="shared" si="1"/>
        <v>0</v>
      </c>
    </row>
    <row r="62" spans="1:6" x14ac:dyDescent="0.25">
      <c r="A62" s="44">
        <f t="shared" si="4"/>
        <v>10.049999999999999</v>
      </c>
      <c r="B62" s="45" t="s">
        <v>47</v>
      </c>
      <c r="C62" s="33">
        <v>1</v>
      </c>
      <c r="D62" s="37" t="s">
        <v>7</v>
      </c>
      <c r="E62" s="42">
        <v>0</v>
      </c>
      <c r="F62" s="43">
        <f t="shared" si="1"/>
        <v>0</v>
      </c>
    </row>
    <row r="63" spans="1:6" x14ac:dyDescent="0.25">
      <c r="A63" s="44">
        <f t="shared" si="4"/>
        <v>10.059999999999999</v>
      </c>
      <c r="B63" s="45" t="s">
        <v>149</v>
      </c>
      <c r="C63" s="33">
        <v>1.44</v>
      </c>
      <c r="D63" s="37" t="s">
        <v>38</v>
      </c>
      <c r="E63" s="42">
        <v>0</v>
      </c>
      <c r="F63" s="43">
        <f t="shared" si="1"/>
        <v>0</v>
      </c>
    </row>
    <row r="64" spans="1:6" x14ac:dyDescent="0.25">
      <c r="A64" s="44">
        <f t="shared" si="4"/>
        <v>10.069999999999999</v>
      </c>
      <c r="B64" s="45" t="s">
        <v>153</v>
      </c>
      <c r="C64" s="33">
        <v>16</v>
      </c>
      <c r="D64" s="37" t="s">
        <v>50</v>
      </c>
      <c r="E64" s="42">
        <v>0</v>
      </c>
      <c r="F64" s="43">
        <f t="shared" si="1"/>
        <v>0</v>
      </c>
    </row>
    <row r="65" spans="1:6" x14ac:dyDescent="0.25">
      <c r="A65" s="53">
        <v>11</v>
      </c>
      <c r="B65" s="40" t="s">
        <v>15</v>
      </c>
      <c r="C65" s="57"/>
      <c r="D65" s="41"/>
      <c r="E65" s="58"/>
      <c r="F65" s="59"/>
    </row>
    <row r="66" spans="1:6" x14ac:dyDescent="0.25">
      <c r="A66" s="44">
        <f>A65+0.01</f>
        <v>11.01</v>
      </c>
      <c r="B66" s="45" t="s">
        <v>150</v>
      </c>
      <c r="C66" s="33">
        <f>3.04*1.54*0.9</f>
        <v>4.2134400000000003</v>
      </c>
      <c r="D66" s="34" t="s">
        <v>9</v>
      </c>
      <c r="E66" s="42">
        <v>0</v>
      </c>
      <c r="F66" s="43">
        <f t="shared" si="1"/>
        <v>0</v>
      </c>
    </row>
    <row r="67" spans="1:6" x14ac:dyDescent="0.25">
      <c r="A67" s="44">
        <f t="shared" ref="A67:A72" si="5">A66+0.01</f>
        <v>11.02</v>
      </c>
      <c r="B67" s="45" t="s">
        <v>141</v>
      </c>
      <c r="C67" s="33">
        <f>C66*1.3</f>
        <v>5.4774720000000006</v>
      </c>
      <c r="D67" s="34" t="s">
        <v>9</v>
      </c>
      <c r="E67" s="42">
        <v>0</v>
      </c>
      <c r="F67" s="43">
        <f t="shared" si="1"/>
        <v>0</v>
      </c>
    </row>
    <row r="68" spans="1:6" x14ac:dyDescent="0.25">
      <c r="A68" s="44">
        <f t="shared" si="5"/>
        <v>11.03</v>
      </c>
      <c r="B68" s="45" t="s">
        <v>147</v>
      </c>
      <c r="C68" s="35">
        <f>3.04*1.54*0.3</f>
        <v>1.4044800000000002</v>
      </c>
      <c r="D68" s="36" t="s">
        <v>9</v>
      </c>
      <c r="E68" s="42">
        <v>0</v>
      </c>
      <c r="F68" s="43">
        <f t="shared" si="1"/>
        <v>0</v>
      </c>
    </row>
    <row r="69" spans="1:6" ht="25.5" x14ac:dyDescent="0.25">
      <c r="A69" s="44">
        <f t="shared" si="5"/>
        <v>11.04</v>
      </c>
      <c r="B69" s="45" t="s">
        <v>151</v>
      </c>
      <c r="C69" s="33">
        <f>(3.04*1.54*0.3)+(0.9*0.9*0.55*2)</f>
        <v>2.2954800000000004</v>
      </c>
      <c r="D69" s="37" t="s">
        <v>9</v>
      </c>
      <c r="E69" s="42">
        <v>0</v>
      </c>
      <c r="F69" s="43">
        <f t="shared" si="1"/>
        <v>0</v>
      </c>
    </row>
    <row r="70" spans="1:6" x14ac:dyDescent="0.25">
      <c r="A70" s="44">
        <f t="shared" si="5"/>
        <v>11.049999999999999</v>
      </c>
      <c r="B70" s="45" t="s">
        <v>47</v>
      </c>
      <c r="C70" s="33">
        <v>1</v>
      </c>
      <c r="D70" s="37" t="s">
        <v>7</v>
      </c>
      <c r="E70" s="42">
        <v>0</v>
      </c>
      <c r="F70" s="43">
        <f t="shared" si="1"/>
        <v>0</v>
      </c>
    </row>
    <row r="71" spans="1:6" x14ac:dyDescent="0.25">
      <c r="A71" s="44">
        <f t="shared" si="5"/>
        <v>11.059999999999999</v>
      </c>
      <c r="B71" s="45" t="s">
        <v>149</v>
      </c>
      <c r="C71" s="33">
        <v>2</v>
      </c>
      <c r="D71" s="37" t="s">
        <v>38</v>
      </c>
      <c r="E71" s="42">
        <v>0</v>
      </c>
      <c r="F71" s="43">
        <f t="shared" si="1"/>
        <v>0</v>
      </c>
    </row>
    <row r="72" spans="1:6" x14ac:dyDescent="0.25">
      <c r="A72" s="44">
        <f t="shared" si="5"/>
        <v>11.069999999999999</v>
      </c>
      <c r="B72" s="45" t="s">
        <v>153</v>
      </c>
      <c r="C72" s="33">
        <v>8</v>
      </c>
      <c r="D72" s="34" t="s">
        <v>50</v>
      </c>
      <c r="E72" s="42">
        <v>0</v>
      </c>
      <c r="F72" s="43">
        <f t="shared" si="1"/>
        <v>0</v>
      </c>
    </row>
    <row r="73" spans="1:6" x14ac:dyDescent="0.25">
      <c r="A73" s="53">
        <v>12</v>
      </c>
      <c r="B73" s="40" t="s">
        <v>182</v>
      </c>
      <c r="C73" s="57"/>
      <c r="D73" s="41"/>
      <c r="E73" s="58"/>
      <c r="F73" s="59"/>
    </row>
    <row r="74" spans="1:6" x14ac:dyDescent="0.25">
      <c r="A74" s="44">
        <f>A73+0.01</f>
        <v>12.01</v>
      </c>
      <c r="B74" s="45" t="s">
        <v>152</v>
      </c>
      <c r="C74" s="33">
        <f>1*1*0.9*3</f>
        <v>2.7</v>
      </c>
      <c r="D74" s="37" t="s">
        <v>35</v>
      </c>
      <c r="E74" s="42">
        <v>0</v>
      </c>
      <c r="F74" s="43">
        <f t="shared" ref="F74:F136" si="6">E74*C74</f>
        <v>0</v>
      </c>
    </row>
    <row r="75" spans="1:6" x14ac:dyDescent="0.25">
      <c r="A75" s="44">
        <f t="shared" ref="A75:A80" si="7">A74+0.01</f>
        <v>12.02</v>
      </c>
      <c r="B75" s="45" t="s">
        <v>141</v>
      </c>
      <c r="C75" s="33">
        <f>C74*1.3</f>
        <v>3.5100000000000002</v>
      </c>
      <c r="D75" s="34" t="s">
        <v>35</v>
      </c>
      <c r="E75" s="42">
        <v>0</v>
      </c>
      <c r="F75" s="43">
        <f t="shared" si="6"/>
        <v>0</v>
      </c>
    </row>
    <row r="76" spans="1:6" x14ac:dyDescent="0.25">
      <c r="A76" s="44">
        <f t="shared" si="7"/>
        <v>12.03</v>
      </c>
      <c r="B76" s="45" t="s">
        <v>147</v>
      </c>
      <c r="C76" s="33">
        <f>1*1*0.3*3</f>
        <v>0.89999999999999991</v>
      </c>
      <c r="D76" s="34" t="s">
        <v>35</v>
      </c>
      <c r="E76" s="42">
        <v>0</v>
      </c>
      <c r="F76" s="43">
        <f t="shared" si="6"/>
        <v>0</v>
      </c>
    </row>
    <row r="77" spans="1:6" ht="25.5" x14ac:dyDescent="0.25">
      <c r="A77" s="44">
        <f t="shared" si="7"/>
        <v>12.04</v>
      </c>
      <c r="B77" s="45" t="s">
        <v>151</v>
      </c>
      <c r="C77" s="35">
        <f>(1*1*0.3*3)+(0.6*0.6*0.55*3)</f>
        <v>1.494</v>
      </c>
      <c r="D77" s="36" t="s">
        <v>35</v>
      </c>
      <c r="E77" s="42">
        <v>0</v>
      </c>
      <c r="F77" s="43">
        <f t="shared" si="6"/>
        <v>0</v>
      </c>
    </row>
    <row r="78" spans="1:6" x14ac:dyDescent="0.25">
      <c r="A78" s="44">
        <f t="shared" si="7"/>
        <v>12.049999999999999</v>
      </c>
      <c r="B78" s="45" t="s">
        <v>47</v>
      </c>
      <c r="C78" s="33">
        <v>1</v>
      </c>
      <c r="D78" s="37" t="s">
        <v>45</v>
      </c>
      <c r="E78" s="42">
        <v>0</v>
      </c>
      <c r="F78" s="43">
        <f t="shared" si="6"/>
        <v>0</v>
      </c>
    </row>
    <row r="79" spans="1:6" x14ac:dyDescent="0.25">
      <c r="A79" s="44">
        <f t="shared" si="7"/>
        <v>12.059999999999999</v>
      </c>
      <c r="B79" s="45" t="s">
        <v>149</v>
      </c>
      <c r="C79" s="33">
        <v>1.1000000000000001</v>
      </c>
      <c r="D79" s="37" t="s">
        <v>38</v>
      </c>
      <c r="E79" s="48">
        <v>0</v>
      </c>
      <c r="F79" s="43">
        <f t="shared" si="6"/>
        <v>0</v>
      </c>
    </row>
    <row r="80" spans="1:6" x14ac:dyDescent="0.25">
      <c r="A80" s="44">
        <f t="shared" si="7"/>
        <v>12.069999999999999</v>
      </c>
      <c r="B80" s="45" t="s">
        <v>153</v>
      </c>
      <c r="C80" s="33">
        <v>12</v>
      </c>
      <c r="D80" s="37" t="s">
        <v>50</v>
      </c>
      <c r="E80" s="42">
        <v>0</v>
      </c>
      <c r="F80" s="43">
        <f t="shared" si="6"/>
        <v>0</v>
      </c>
    </row>
    <row r="81" spans="1:6" x14ac:dyDescent="0.25">
      <c r="A81" s="53">
        <v>13</v>
      </c>
      <c r="B81" s="40" t="s">
        <v>52</v>
      </c>
      <c r="C81" s="57"/>
      <c r="D81" s="41"/>
      <c r="E81" s="58"/>
      <c r="F81" s="59"/>
    </row>
    <row r="82" spans="1:6" x14ac:dyDescent="0.25">
      <c r="A82" s="44">
        <f>A81+0.01</f>
        <v>13.01</v>
      </c>
      <c r="B82" s="45" t="s">
        <v>154</v>
      </c>
      <c r="C82" s="33">
        <f>1*1*0.9*3</f>
        <v>2.7</v>
      </c>
      <c r="D82" s="37" t="s">
        <v>35</v>
      </c>
      <c r="E82" s="42">
        <v>0</v>
      </c>
      <c r="F82" s="43">
        <f t="shared" si="6"/>
        <v>0</v>
      </c>
    </row>
    <row r="83" spans="1:6" x14ac:dyDescent="0.25">
      <c r="A83" s="44">
        <f t="shared" ref="A83:A88" si="8">A82+0.01</f>
        <v>13.02</v>
      </c>
      <c r="B83" s="45" t="s">
        <v>141</v>
      </c>
      <c r="C83" s="33">
        <f>C82*1.3</f>
        <v>3.5100000000000002</v>
      </c>
      <c r="D83" s="34" t="s">
        <v>35</v>
      </c>
      <c r="E83" s="42">
        <v>0</v>
      </c>
      <c r="F83" s="43">
        <f t="shared" si="6"/>
        <v>0</v>
      </c>
    </row>
    <row r="84" spans="1:6" x14ac:dyDescent="0.25">
      <c r="A84" s="44">
        <f t="shared" si="8"/>
        <v>13.03</v>
      </c>
      <c r="B84" s="45" t="s">
        <v>147</v>
      </c>
      <c r="C84" s="33">
        <f>1*1*0.3*3</f>
        <v>0.89999999999999991</v>
      </c>
      <c r="D84" s="34" t="s">
        <v>35</v>
      </c>
      <c r="E84" s="42">
        <v>0</v>
      </c>
      <c r="F84" s="43">
        <f t="shared" si="6"/>
        <v>0</v>
      </c>
    </row>
    <row r="85" spans="1:6" ht="25.5" x14ac:dyDescent="0.25">
      <c r="A85" s="44">
        <f t="shared" si="8"/>
        <v>13.04</v>
      </c>
      <c r="B85" s="45" t="s">
        <v>151</v>
      </c>
      <c r="C85" s="35">
        <f>(1*1*0.3*3)+(0.6*0.6*0.55*3)</f>
        <v>1.494</v>
      </c>
      <c r="D85" s="36" t="s">
        <v>35</v>
      </c>
      <c r="E85" s="42">
        <v>0</v>
      </c>
      <c r="F85" s="43">
        <f t="shared" si="6"/>
        <v>0</v>
      </c>
    </row>
    <row r="86" spans="1:6" x14ac:dyDescent="0.25">
      <c r="A86" s="44">
        <f t="shared" si="8"/>
        <v>13.049999999999999</v>
      </c>
      <c r="B86" s="45" t="s">
        <v>47</v>
      </c>
      <c r="C86" s="33">
        <v>1</v>
      </c>
      <c r="D86" s="37" t="s">
        <v>45</v>
      </c>
      <c r="E86" s="42">
        <v>0</v>
      </c>
      <c r="F86" s="43">
        <f t="shared" si="6"/>
        <v>0</v>
      </c>
    </row>
    <row r="87" spans="1:6" x14ac:dyDescent="0.25">
      <c r="A87" s="44">
        <f t="shared" si="8"/>
        <v>13.059999999999999</v>
      </c>
      <c r="B87" s="45" t="s">
        <v>149</v>
      </c>
      <c r="C87" s="33">
        <v>1.1000000000000001</v>
      </c>
      <c r="D87" s="37" t="s">
        <v>38</v>
      </c>
      <c r="E87" s="42">
        <v>0</v>
      </c>
      <c r="F87" s="43">
        <f t="shared" si="6"/>
        <v>0</v>
      </c>
    </row>
    <row r="88" spans="1:6" x14ac:dyDescent="0.25">
      <c r="A88" s="44">
        <f t="shared" si="8"/>
        <v>13.069999999999999</v>
      </c>
      <c r="B88" s="45" t="s">
        <v>153</v>
      </c>
      <c r="C88" s="33">
        <v>12</v>
      </c>
      <c r="D88" s="37" t="s">
        <v>50</v>
      </c>
      <c r="E88" s="42">
        <v>0</v>
      </c>
      <c r="F88" s="43">
        <f t="shared" si="6"/>
        <v>0</v>
      </c>
    </row>
    <row r="89" spans="1:6" x14ac:dyDescent="0.25">
      <c r="A89" s="53">
        <v>14</v>
      </c>
      <c r="B89" s="40" t="s">
        <v>53</v>
      </c>
      <c r="C89" s="57"/>
      <c r="D89" s="41"/>
      <c r="E89" s="58"/>
      <c r="F89" s="59"/>
    </row>
    <row r="90" spans="1:6" x14ac:dyDescent="0.25">
      <c r="A90" s="44">
        <f>A89+0.01</f>
        <v>14.01</v>
      </c>
      <c r="B90" s="45" t="s">
        <v>155</v>
      </c>
      <c r="C90" s="33">
        <v>59.41</v>
      </c>
      <c r="D90" s="34" t="s">
        <v>9</v>
      </c>
      <c r="E90" s="42">
        <v>0</v>
      </c>
      <c r="F90" s="43">
        <f t="shared" si="6"/>
        <v>0</v>
      </c>
    </row>
    <row r="91" spans="1:6" x14ac:dyDescent="0.25">
      <c r="A91" s="44">
        <f t="shared" ref="A91:A109" si="9">A90+0.01</f>
        <v>14.02</v>
      </c>
      <c r="B91" s="45" t="s">
        <v>141</v>
      </c>
      <c r="C91" s="33">
        <v>77.23</v>
      </c>
      <c r="D91" s="34" t="s">
        <v>9</v>
      </c>
      <c r="E91" s="42">
        <v>0</v>
      </c>
      <c r="F91" s="43">
        <f t="shared" si="6"/>
        <v>0</v>
      </c>
    </row>
    <row r="92" spans="1:6" x14ac:dyDescent="0.25">
      <c r="A92" s="44">
        <f t="shared" si="9"/>
        <v>14.03</v>
      </c>
      <c r="B92" s="45" t="s">
        <v>156</v>
      </c>
      <c r="C92" s="35">
        <v>22.63</v>
      </c>
      <c r="D92" s="36" t="s">
        <v>9</v>
      </c>
      <c r="E92" s="42">
        <v>0</v>
      </c>
      <c r="F92" s="43">
        <f t="shared" si="6"/>
        <v>0</v>
      </c>
    </row>
    <row r="93" spans="1:6" ht="38.25" x14ac:dyDescent="0.25">
      <c r="A93" s="44">
        <f t="shared" si="9"/>
        <v>14.04</v>
      </c>
      <c r="B93" s="45" t="s">
        <v>157</v>
      </c>
      <c r="C93" s="33">
        <v>26.57</v>
      </c>
      <c r="D93" s="37" t="s">
        <v>9</v>
      </c>
      <c r="E93" s="42">
        <v>0</v>
      </c>
      <c r="F93" s="43">
        <f t="shared" si="6"/>
        <v>0</v>
      </c>
    </row>
    <row r="94" spans="1:6" ht="25.5" x14ac:dyDescent="0.25">
      <c r="A94" s="44">
        <f t="shared" si="9"/>
        <v>14.049999999999999</v>
      </c>
      <c r="B94" s="45" t="s">
        <v>158</v>
      </c>
      <c r="C94" s="33">
        <v>18.95</v>
      </c>
      <c r="D94" s="37" t="s">
        <v>54</v>
      </c>
      <c r="E94" s="42">
        <v>0</v>
      </c>
      <c r="F94" s="43">
        <f t="shared" si="6"/>
        <v>0</v>
      </c>
    </row>
    <row r="95" spans="1:6" x14ac:dyDescent="0.25">
      <c r="A95" s="44">
        <f t="shared" si="9"/>
        <v>14.059999999999999</v>
      </c>
      <c r="B95" s="45" t="s">
        <v>98</v>
      </c>
      <c r="C95" s="33">
        <v>18.95</v>
      </c>
      <c r="D95" s="37" t="s">
        <v>126</v>
      </c>
      <c r="E95" s="42">
        <v>0</v>
      </c>
      <c r="F95" s="43">
        <f t="shared" si="6"/>
        <v>0</v>
      </c>
    </row>
    <row r="96" spans="1:6" x14ac:dyDescent="0.25">
      <c r="A96" s="44">
        <f t="shared" si="9"/>
        <v>14.069999999999999</v>
      </c>
      <c r="B96" s="45" t="s">
        <v>159</v>
      </c>
      <c r="C96" s="33">
        <v>18.95</v>
      </c>
      <c r="D96" s="37" t="s">
        <v>126</v>
      </c>
      <c r="E96" s="42">
        <v>0</v>
      </c>
      <c r="F96" s="43">
        <f t="shared" si="6"/>
        <v>0</v>
      </c>
    </row>
    <row r="97" spans="1:6" x14ac:dyDescent="0.25">
      <c r="A97" s="44">
        <f t="shared" si="9"/>
        <v>14.079999999999998</v>
      </c>
      <c r="B97" s="45" t="s">
        <v>47</v>
      </c>
      <c r="C97" s="33">
        <v>1</v>
      </c>
      <c r="D97" s="37" t="s">
        <v>7</v>
      </c>
      <c r="E97" s="42">
        <v>0</v>
      </c>
      <c r="F97" s="43">
        <f t="shared" si="6"/>
        <v>0</v>
      </c>
    </row>
    <row r="98" spans="1:6" ht="38.25" x14ac:dyDescent="0.25">
      <c r="A98" s="44">
        <f t="shared" si="9"/>
        <v>14.089999999999998</v>
      </c>
      <c r="B98" s="45" t="s">
        <v>160</v>
      </c>
      <c r="C98" s="33">
        <v>1</v>
      </c>
      <c r="D98" s="37" t="s">
        <v>7</v>
      </c>
      <c r="E98" s="42">
        <v>0</v>
      </c>
      <c r="F98" s="43">
        <f t="shared" si="6"/>
        <v>0</v>
      </c>
    </row>
    <row r="99" spans="1:6" x14ac:dyDescent="0.25">
      <c r="A99" s="44">
        <f t="shared" si="9"/>
        <v>14.099999999999998</v>
      </c>
      <c r="B99" s="45" t="s">
        <v>161</v>
      </c>
      <c r="C99" s="33">
        <v>20.71</v>
      </c>
      <c r="D99" s="34" t="s">
        <v>9</v>
      </c>
      <c r="E99" s="42">
        <v>0</v>
      </c>
      <c r="F99" s="43">
        <f t="shared" si="6"/>
        <v>0</v>
      </c>
    </row>
    <row r="100" spans="1:6" x14ac:dyDescent="0.25">
      <c r="A100" s="44">
        <f t="shared" si="9"/>
        <v>14.109999999999998</v>
      </c>
      <c r="B100" s="45" t="s">
        <v>141</v>
      </c>
      <c r="C100" s="33">
        <v>26.93</v>
      </c>
      <c r="D100" s="34" t="s">
        <v>9</v>
      </c>
      <c r="E100" s="42">
        <v>0</v>
      </c>
      <c r="F100" s="43">
        <f t="shared" si="6"/>
        <v>0</v>
      </c>
    </row>
    <row r="101" spans="1:6" x14ac:dyDescent="0.25">
      <c r="A101" s="44">
        <f t="shared" si="9"/>
        <v>14.119999999999997</v>
      </c>
      <c r="B101" s="45" t="s">
        <v>162</v>
      </c>
      <c r="C101" s="35">
        <v>2.1800000000000002</v>
      </c>
      <c r="D101" s="36" t="s">
        <v>9</v>
      </c>
      <c r="E101" s="42">
        <v>0</v>
      </c>
      <c r="F101" s="43">
        <f t="shared" si="6"/>
        <v>0</v>
      </c>
    </row>
    <row r="102" spans="1:6" ht="25.5" x14ac:dyDescent="0.25">
      <c r="A102" s="44">
        <f t="shared" si="9"/>
        <v>14.129999999999997</v>
      </c>
      <c r="B102" s="45" t="s">
        <v>163</v>
      </c>
      <c r="C102" s="33">
        <v>2.1800000000000002</v>
      </c>
      <c r="D102" s="37" t="s">
        <v>9</v>
      </c>
      <c r="E102" s="42">
        <v>0</v>
      </c>
      <c r="F102" s="43">
        <f t="shared" si="6"/>
        <v>0</v>
      </c>
    </row>
    <row r="103" spans="1:6" ht="25.5" x14ac:dyDescent="0.25">
      <c r="A103" s="44">
        <f t="shared" si="9"/>
        <v>14.139999999999997</v>
      </c>
      <c r="B103" s="45" t="s">
        <v>164</v>
      </c>
      <c r="C103" s="33">
        <v>1</v>
      </c>
      <c r="D103" s="37" t="s">
        <v>7</v>
      </c>
      <c r="E103" s="42">
        <v>0</v>
      </c>
      <c r="F103" s="43">
        <f t="shared" si="6"/>
        <v>0</v>
      </c>
    </row>
    <row r="104" spans="1:6" ht="25.5" x14ac:dyDescent="0.25">
      <c r="A104" s="44">
        <f>A103+0.01</f>
        <v>14.149999999999997</v>
      </c>
      <c r="B104" s="45" t="s">
        <v>165</v>
      </c>
      <c r="C104" s="33">
        <v>22.12</v>
      </c>
      <c r="D104" s="37" t="s">
        <v>54</v>
      </c>
      <c r="E104" s="42">
        <v>0</v>
      </c>
      <c r="F104" s="43">
        <f t="shared" si="6"/>
        <v>0</v>
      </c>
    </row>
    <row r="105" spans="1:6" x14ac:dyDescent="0.25">
      <c r="A105" s="44">
        <f t="shared" si="9"/>
        <v>14.159999999999997</v>
      </c>
      <c r="B105" s="45" t="s">
        <v>55</v>
      </c>
      <c r="C105" s="33">
        <f>4.58*0.03</f>
        <v>0.13739999999999999</v>
      </c>
      <c r="D105" s="37" t="s">
        <v>35</v>
      </c>
      <c r="E105" s="42">
        <v>0</v>
      </c>
      <c r="F105" s="43">
        <f t="shared" si="6"/>
        <v>0</v>
      </c>
    </row>
    <row r="106" spans="1:6" x14ac:dyDescent="0.25">
      <c r="A106" s="44">
        <f t="shared" si="9"/>
        <v>14.169999999999996</v>
      </c>
      <c r="B106" s="45" t="s">
        <v>56</v>
      </c>
      <c r="C106" s="33">
        <f>10.05</f>
        <v>10.050000000000001</v>
      </c>
      <c r="D106" s="37" t="s">
        <v>39</v>
      </c>
      <c r="E106" s="42">
        <v>0</v>
      </c>
      <c r="F106" s="43">
        <f t="shared" si="6"/>
        <v>0</v>
      </c>
    </row>
    <row r="107" spans="1:6" x14ac:dyDescent="0.25">
      <c r="A107" s="44">
        <f t="shared" si="9"/>
        <v>14.179999999999996</v>
      </c>
      <c r="B107" s="45" t="s">
        <v>99</v>
      </c>
      <c r="C107" s="33">
        <v>22.12</v>
      </c>
      <c r="D107" s="37" t="s">
        <v>126</v>
      </c>
      <c r="E107" s="42">
        <v>0</v>
      </c>
      <c r="F107" s="43">
        <f t="shared" si="6"/>
        <v>0</v>
      </c>
    </row>
    <row r="108" spans="1:6" x14ac:dyDescent="0.25">
      <c r="A108" s="44">
        <f t="shared" si="9"/>
        <v>14.189999999999996</v>
      </c>
      <c r="B108" s="45" t="s">
        <v>100</v>
      </c>
      <c r="C108" s="33">
        <v>22.12</v>
      </c>
      <c r="D108" s="37" t="s">
        <v>126</v>
      </c>
      <c r="E108" s="42">
        <v>0</v>
      </c>
      <c r="F108" s="43">
        <f t="shared" si="6"/>
        <v>0</v>
      </c>
    </row>
    <row r="109" spans="1:6" x14ac:dyDescent="0.25">
      <c r="A109" s="44">
        <f t="shared" si="9"/>
        <v>14.199999999999996</v>
      </c>
      <c r="B109" s="45" t="s">
        <v>144</v>
      </c>
      <c r="C109" s="33">
        <v>31.48</v>
      </c>
      <c r="D109" s="37" t="s">
        <v>126</v>
      </c>
      <c r="E109" s="42">
        <v>0</v>
      </c>
      <c r="F109" s="43">
        <f t="shared" si="6"/>
        <v>0</v>
      </c>
    </row>
    <row r="110" spans="1:6" x14ac:dyDescent="0.25">
      <c r="A110" s="53">
        <v>15</v>
      </c>
      <c r="B110" s="40" t="s">
        <v>57</v>
      </c>
      <c r="C110" s="57"/>
      <c r="D110" s="41"/>
      <c r="E110" s="58">
        <v>0</v>
      </c>
      <c r="F110" s="59"/>
    </row>
    <row r="111" spans="1:6" x14ac:dyDescent="0.25">
      <c r="A111" s="44">
        <f>A110+0.01</f>
        <v>15.01</v>
      </c>
      <c r="B111" s="45" t="s">
        <v>166</v>
      </c>
      <c r="C111" s="33">
        <f>1*1*0.9</f>
        <v>0.9</v>
      </c>
      <c r="D111" s="37" t="s">
        <v>35</v>
      </c>
      <c r="E111" s="42">
        <v>0</v>
      </c>
      <c r="F111" s="43">
        <f t="shared" si="6"/>
        <v>0</v>
      </c>
    </row>
    <row r="112" spans="1:6" x14ac:dyDescent="0.25">
      <c r="A112" s="44">
        <f t="shared" ref="A112:A117" si="10">A111+0.01</f>
        <v>15.02</v>
      </c>
      <c r="B112" s="45" t="s">
        <v>141</v>
      </c>
      <c r="C112" s="33">
        <f>C111*1.3</f>
        <v>1.1700000000000002</v>
      </c>
      <c r="D112" s="34" t="s">
        <v>35</v>
      </c>
      <c r="E112" s="42">
        <v>0</v>
      </c>
      <c r="F112" s="43">
        <f t="shared" si="6"/>
        <v>0</v>
      </c>
    </row>
    <row r="113" spans="1:6" x14ac:dyDescent="0.25">
      <c r="A113" s="44">
        <f t="shared" si="10"/>
        <v>15.03</v>
      </c>
      <c r="B113" s="45" t="s">
        <v>147</v>
      </c>
      <c r="C113" s="33">
        <f>1*1*0.3</f>
        <v>0.3</v>
      </c>
      <c r="D113" s="34" t="s">
        <v>35</v>
      </c>
      <c r="E113" s="42">
        <v>0</v>
      </c>
      <c r="F113" s="43">
        <f t="shared" si="6"/>
        <v>0</v>
      </c>
    </row>
    <row r="114" spans="1:6" ht="25.5" x14ac:dyDescent="0.25">
      <c r="A114" s="44">
        <f t="shared" si="10"/>
        <v>15.04</v>
      </c>
      <c r="B114" s="45" t="s">
        <v>167</v>
      </c>
      <c r="C114" s="35">
        <f>(1*1*0.3)+(0.6*0.6*0.55)</f>
        <v>0.498</v>
      </c>
      <c r="D114" s="36" t="s">
        <v>35</v>
      </c>
      <c r="E114" s="42">
        <v>0</v>
      </c>
      <c r="F114" s="43">
        <f t="shared" si="6"/>
        <v>0</v>
      </c>
    </row>
    <row r="115" spans="1:6" x14ac:dyDescent="0.25">
      <c r="A115" s="44">
        <f t="shared" si="10"/>
        <v>15.049999999999999</v>
      </c>
      <c r="B115" s="45" t="s">
        <v>47</v>
      </c>
      <c r="C115" s="33">
        <v>1</v>
      </c>
      <c r="D115" s="37" t="s">
        <v>45</v>
      </c>
      <c r="E115" s="42">
        <v>0</v>
      </c>
      <c r="F115" s="43">
        <f t="shared" si="6"/>
        <v>0</v>
      </c>
    </row>
    <row r="116" spans="1:6" x14ac:dyDescent="0.25">
      <c r="A116" s="44">
        <f t="shared" si="10"/>
        <v>15.059999999999999</v>
      </c>
      <c r="B116" s="45" t="s">
        <v>49</v>
      </c>
      <c r="C116" s="33">
        <v>0.36</v>
      </c>
      <c r="D116" s="37" t="s">
        <v>38</v>
      </c>
      <c r="E116" s="48">
        <v>0</v>
      </c>
      <c r="F116" s="43">
        <f t="shared" si="6"/>
        <v>0</v>
      </c>
    </row>
    <row r="117" spans="1:6" x14ac:dyDescent="0.25">
      <c r="A117" s="44">
        <f t="shared" si="10"/>
        <v>15.069999999999999</v>
      </c>
      <c r="B117" s="45" t="s">
        <v>153</v>
      </c>
      <c r="C117" s="33">
        <v>4</v>
      </c>
      <c r="D117" s="37" t="s">
        <v>50</v>
      </c>
      <c r="E117" s="42">
        <v>0</v>
      </c>
      <c r="F117" s="43">
        <f t="shared" si="6"/>
        <v>0</v>
      </c>
    </row>
    <row r="118" spans="1:6" x14ac:dyDescent="0.25">
      <c r="A118" s="53">
        <v>16</v>
      </c>
      <c r="B118" s="40" t="s">
        <v>59</v>
      </c>
      <c r="C118" s="57"/>
      <c r="D118" s="41"/>
      <c r="E118" s="58">
        <v>0</v>
      </c>
      <c r="F118" s="59"/>
    </row>
    <row r="119" spans="1:6" x14ac:dyDescent="0.25">
      <c r="A119" s="44">
        <f>A118+0.01</f>
        <v>16.010000000000002</v>
      </c>
      <c r="B119" s="45" t="s">
        <v>112</v>
      </c>
      <c r="C119" s="33">
        <f>1.8*1.8*0.9*4</f>
        <v>11.664000000000001</v>
      </c>
      <c r="D119" s="36" t="s">
        <v>35</v>
      </c>
      <c r="E119" s="42">
        <v>0</v>
      </c>
      <c r="F119" s="43">
        <f t="shared" si="6"/>
        <v>0</v>
      </c>
    </row>
    <row r="120" spans="1:6" x14ac:dyDescent="0.25">
      <c r="A120" s="44">
        <f t="shared" ref="A120:A125" si="11">A119+0.01</f>
        <v>16.020000000000003</v>
      </c>
      <c r="B120" s="45" t="s">
        <v>12</v>
      </c>
      <c r="C120" s="33">
        <f>C119*1.3</f>
        <v>15.163200000000002</v>
      </c>
      <c r="D120" s="36" t="s">
        <v>35</v>
      </c>
      <c r="E120" s="42">
        <v>0</v>
      </c>
      <c r="F120" s="43">
        <f t="shared" si="6"/>
        <v>0</v>
      </c>
    </row>
    <row r="121" spans="1:6" x14ac:dyDescent="0.25">
      <c r="A121" s="44">
        <f t="shared" si="11"/>
        <v>16.030000000000005</v>
      </c>
      <c r="B121" s="45" t="s">
        <v>14</v>
      </c>
      <c r="C121" s="33">
        <f>1.8*1.8*0.3*4</f>
        <v>3.8879999999999999</v>
      </c>
      <c r="D121" s="36" t="s">
        <v>35</v>
      </c>
      <c r="E121" s="42">
        <v>0</v>
      </c>
      <c r="F121" s="43">
        <f t="shared" si="6"/>
        <v>0</v>
      </c>
    </row>
    <row r="122" spans="1:6" ht="25.5" x14ac:dyDescent="0.25">
      <c r="A122" s="44">
        <f t="shared" si="11"/>
        <v>16.040000000000006</v>
      </c>
      <c r="B122" s="45" t="s">
        <v>58</v>
      </c>
      <c r="C122" s="33">
        <f>(1.8*1.8*0.3*4)+(1.4*1.4*0.55*4)</f>
        <v>8.1999999999999993</v>
      </c>
      <c r="D122" s="37" t="s">
        <v>35</v>
      </c>
      <c r="E122" s="42">
        <v>0</v>
      </c>
      <c r="F122" s="43">
        <f t="shared" si="6"/>
        <v>0</v>
      </c>
    </row>
    <row r="123" spans="1:6" x14ac:dyDescent="0.25">
      <c r="A123" s="44">
        <f t="shared" si="11"/>
        <v>16.050000000000008</v>
      </c>
      <c r="B123" s="45" t="s">
        <v>110</v>
      </c>
      <c r="C123" s="33">
        <v>1</v>
      </c>
      <c r="D123" s="34" t="s">
        <v>45</v>
      </c>
      <c r="E123" s="42">
        <v>0</v>
      </c>
      <c r="F123" s="43">
        <f t="shared" si="6"/>
        <v>0</v>
      </c>
    </row>
    <row r="124" spans="1:6" x14ac:dyDescent="0.25">
      <c r="A124" s="44">
        <f t="shared" si="11"/>
        <v>16.060000000000009</v>
      </c>
      <c r="B124" s="45" t="s">
        <v>49</v>
      </c>
      <c r="C124" s="33">
        <f>1.4*1.4*4</f>
        <v>7.839999999999999</v>
      </c>
      <c r="D124" s="34" t="s">
        <v>38</v>
      </c>
      <c r="E124" s="42">
        <v>0</v>
      </c>
      <c r="F124" s="43">
        <f t="shared" si="6"/>
        <v>0</v>
      </c>
    </row>
    <row r="125" spans="1:6" x14ac:dyDescent="0.25">
      <c r="A125" s="44">
        <f t="shared" si="11"/>
        <v>16.070000000000011</v>
      </c>
      <c r="B125" s="45" t="s">
        <v>51</v>
      </c>
      <c r="C125" s="35">
        <v>16</v>
      </c>
      <c r="D125" s="36" t="s">
        <v>50</v>
      </c>
      <c r="E125" s="42">
        <v>0</v>
      </c>
      <c r="F125" s="43">
        <f t="shared" si="6"/>
        <v>0</v>
      </c>
    </row>
    <row r="126" spans="1:6" x14ac:dyDescent="0.25">
      <c r="A126" s="53">
        <v>17</v>
      </c>
      <c r="B126" s="40" t="s">
        <v>101</v>
      </c>
      <c r="C126" s="57"/>
      <c r="D126" s="41"/>
      <c r="E126" s="58">
        <v>0</v>
      </c>
      <c r="F126" s="59"/>
    </row>
    <row r="127" spans="1:6" x14ac:dyDescent="0.25">
      <c r="A127" s="44">
        <f>A126+0.01</f>
        <v>17.010000000000002</v>
      </c>
      <c r="B127" s="50" t="s">
        <v>113</v>
      </c>
      <c r="C127" s="33">
        <f>(1.3*1.3*1.1*6)+(0.6*0.6*0.4*6)</f>
        <v>12.018000000000004</v>
      </c>
      <c r="D127" s="37" t="s">
        <v>35</v>
      </c>
      <c r="E127" s="42">
        <v>0</v>
      </c>
      <c r="F127" s="43">
        <f t="shared" si="6"/>
        <v>0</v>
      </c>
    </row>
    <row r="128" spans="1:6" x14ac:dyDescent="0.25">
      <c r="A128" s="44">
        <f t="shared" ref="A128:A141" si="12">A127+0.01</f>
        <v>17.020000000000003</v>
      </c>
      <c r="B128" s="50" t="s">
        <v>12</v>
      </c>
      <c r="C128" s="33">
        <f>C127*1.3</f>
        <v>15.623400000000006</v>
      </c>
      <c r="D128" s="37" t="s">
        <v>35</v>
      </c>
      <c r="E128" s="48">
        <v>0</v>
      </c>
      <c r="F128" s="43">
        <f t="shared" si="6"/>
        <v>0</v>
      </c>
    </row>
    <row r="129" spans="1:6" x14ac:dyDescent="0.25">
      <c r="A129" s="44">
        <f t="shared" si="12"/>
        <v>17.030000000000005</v>
      </c>
      <c r="B129" s="50" t="s">
        <v>13</v>
      </c>
      <c r="C129" s="35">
        <f>1.3*1.3*0.2*6</f>
        <v>2.0280000000000005</v>
      </c>
      <c r="D129" s="37" t="s">
        <v>35</v>
      </c>
      <c r="E129" s="42">
        <v>0</v>
      </c>
      <c r="F129" s="43">
        <f t="shared" si="6"/>
        <v>0</v>
      </c>
    </row>
    <row r="130" spans="1:6" ht="25.5" x14ac:dyDescent="0.25">
      <c r="A130" s="44">
        <f t="shared" si="12"/>
        <v>17.040000000000006</v>
      </c>
      <c r="B130" s="50" t="s">
        <v>32</v>
      </c>
      <c r="C130" s="33">
        <f>1.3*1.3*0.1*6</f>
        <v>1.0140000000000002</v>
      </c>
      <c r="D130" s="37" t="s">
        <v>35</v>
      </c>
      <c r="E130" s="42">
        <v>0</v>
      </c>
      <c r="F130" s="43">
        <f t="shared" si="6"/>
        <v>0</v>
      </c>
    </row>
    <row r="131" spans="1:6" x14ac:dyDescent="0.25">
      <c r="A131" s="44">
        <f t="shared" si="12"/>
        <v>17.050000000000008</v>
      </c>
      <c r="B131" s="50" t="s">
        <v>114</v>
      </c>
      <c r="C131" s="33">
        <f>(1.3*4*0.8*6)</f>
        <v>24.96</v>
      </c>
      <c r="D131" s="37" t="s">
        <v>38</v>
      </c>
      <c r="E131" s="42">
        <v>0</v>
      </c>
      <c r="F131" s="43">
        <f t="shared" si="6"/>
        <v>0</v>
      </c>
    </row>
    <row r="132" spans="1:6" x14ac:dyDescent="0.25">
      <c r="A132" s="44">
        <f t="shared" si="12"/>
        <v>17.060000000000009</v>
      </c>
      <c r="B132" s="50" t="s">
        <v>10</v>
      </c>
      <c r="C132" s="33">
        <f>(1.3*4*0.8*6)</f>
        <v>24.96</v>
      </c>
      <c r="D132" s="37" t="s">
        <v>38</v>
      </c>
      <c r="E132" s="42">
        <v>0</v>
      </c>
      <c r="F132" s="43">
        <f t="shared" si="6"/>
        <v>0</v>
      </c>
    </row>
    <row r="133" spans="1:6" x14ac:dyDescent="0.25">
      <c r="A133" s="44">
        <f t="shared" si="12"/>
        <v>17.070000000000011</v>
      </c>
      <c r="B133" s="50" t="s">
        <v>11</v>
      </c>
      <c r="C133" s="33">
        <f>(1.3*4*0.8*6)</f>
        <v>24.96</v>
      </c>
      <c r="D133" s="34" t="s">
        <v>38</v>
      </c>
      <c r="E133" s="42">
        <v>0</v>
      </c>
      <c r="F133" s="43">
        <f t="shared" si="6"/>
        <v>0</v>
      </c>
    </row>
    <row r="134" spans="1:6" ht="25.5" x14ac:dyDescent="0.25">
      <c r="A134" s="44">
        <f t="shared" si="12"/>
        <v>17.080000000000013</v>
      </c>
      <c r="B134" s="50" t="s">
        <v>115</v>
      </c>
      <c r="C134" s="33">
        <v>1</v>
      </c>
      <c r="D134" s="34" t="s">
        <v>45</v>
      </c>
      <c r="E134" s="42">
        <v>0</v>
      </c>
      <c r="F134" s="43">
        <f t="shared" si="6"/>
        <v>0</v>
      </c>
    </row>
    <row r="135" spans="1:6" x14ac:dyDescent="0.25">
      <c r="A135" s="44">
        <f t="shared" si="12"/>
        <v>17.090000000000014</v>
      </c>
      <c r="B135" s="50" t="s">
        <v>47</v>
      </c>
      <c r="C135" s="33">
        <v>1</v>
      </c>
      <c r="D135" s="34" t="s">
        <v>45</v>
      </c>
      <c r="E135" s="42">
        <v>0</v>
      </c>
      <c r="F135" s="43">
        <f t="shared" si="6"/>
        <v>0</v>
      </c>
    </row>
    <row r="136" spans="1:6" x14ac:dyDescent="0.25">
      <c r="A136" s="44">
        <f t="shared" si="12"/>
        <v>17.100000000000016</v>
      </c>
      <c r="B136" s="50" t="s">
        <v>61</v>
      </c>
      <c r="C136" s="35">
        <v>1.3</v>
      </c>
      <c r="D136" s="36" t="s">
        <v>35</v>
      </c>
      <c r="E136" s="42">
        <v>0</v>
      </c>
      <c r="F136" s="43">
        <f t="shared" si="6"/>
        <v>0</v>
      </c>
    </row>
    <row r="137" spans="1:6" x14ac:dyDescent="0.25">
      <c r="A137" s="44">
        <f t="shared" si="12"/>
        <v>17.110000000000017</v>
      </c>
      <c r="B137" s="50" t="s">
        <v>116</v>
      </c>
      <c r="C137" s="33">
        <f>0.7*6</f>
        <v>4.1999999999999993</v>
      </c>
      <c r="D137" s="37" t="s">
        <v>39</v>
      </c>
      <c r="E137" s="42">
        <v>0</v>
      </c>
      <c r="F137" s="43">
        <f t="shared" ref="F137:F222" si="13">E137*C137</f>
        <v>0</v>
      </c>
    </row>
    <row r="138" spans="1:6" ht="25.5" x14ac:dyDescent="0.25">
      <c r="A138" s="44">
        <f t="shared" si="12"/>
        <v>17.120000000000019</v>
      </c>
      <c r="B138" s="50" t="s">
        <v>62</v>
      </c>
      <c r="C138" s="33">
        <v>1</v>
      </c>
      <c r="D138" s="37" t="s">
        <v>45</v>
      </c>
      <c r="E138" s="42">
        <v>0</v>
      </c>
      <c r="F138" s="43">
        <f t="shared" si="13"/>
        <v>0</v>
      </c>
    </row>
    <row r="139" spans="1:6" ht="38.25" x14ac:dyDescent="0.25">
      <c r="A139" s="44">
        <f t="shared" si="12"/>
        <v>17.13000000000002</v>
      </c>
      <c r="B139" s="50" t="s">
        <v>60</v>
      </c>
      <c r="C139" s="33">
        <f>(1.3*4)*0.25*0.2*6</f>
        <v>1.56</v>
      </c>
      <c r="D139" s="37" t="s">
        <v>35</v>
      </c>
      <c r="E139" s="48">
        <v>0</v>
      </c>
      <c r="F139" s="43">
        <f t="shared" si="13"/>
        <v>0</v>
      </c>
    </row>
    <row r="140" spans="1:6" ht="25.5" x14ac:dyDescent="0.25">
      <c r="A140" s="44">
        <f t="shared" si="12"/>
        <v>17.140000000000022</v>
      </c>
      <c r="B140" s="50" t="s">
        <v>117</v>
      </c>
      <c r="C140" s="33">
        <v>1</v>
      </c>
      <c r="D140" s="37" t="s">
        <v>45</v>
      </c>
      <c r="E140" s="42">
        <v>0</v>
      </c>
      <c r="F140" s="43">
        <f t="shared" si="13"/>
        <v>0</v>
      </c>
    </row>
    <row r="141" spans="1:6" x14ac:dyDescent="0.25">
      <c r="A141" s="44">
        <f t="shared" si="12"/>
        <v>17.150000000000023</v>
      </c>
      <c r="B141" s="45" t="s">
        <v>192</v>
      </c>
      <c r="C141" s="33">
        <v>10</v>
      </c>
      <c r="D141" s="37" t="s">
        <v>38</v>
      </c>
      <c r="E141" s="42">
        <v>0</v>
      </c>
      <c r="F141" s="43">
        <f t="shared" si="13"/>
        <v>0</v>
      </c>
    </row>
    <row r="142" spans="1:6" x14ac:dyDescent="0.25">
      <c r="A142" s="53">
        <v>18</v>
      </c>
      <c r="B142" s="40" t="s">
        <v>118</v>
      </c>
      <c r="C142" s="57"/>
      <c r="D142" s="41"/>
      <c r="E142" s="58"/>
      <c r="F142" s="59"/>
    </row>
    <row r="143" spans="1:6" x14ac:dyDescent="0.25">
      <c r="A143" s="44">
        <f>A142+0.01</f>
        <v>18.010000000000002</v>
      </c>
      <c r="B143" s="45" t="s">
        <v>119</v>
      </c>
      <c r="C143" s="33">
        <f>0.3*0.4*(48.06+45.04)</f>
        <v>11.171999999999999</v>
      </c>
      <c r="D143" s="37" t="s">
        <v>35</v>
      </c>
      <c r="E143" s="42">
        <v>0</v>
      </c>
      <c r="F143" s="43">
        <f t="shared" si="13"/>
        <v>0</v>
      </c>
    </row>
    <row r="144" spans="1:6" x14ac:dyDescent="0.25">
      <c r="A144" s="44">
        <f t="shared" ref="A144:A148" si="14">A143+0.01</f>
        <v>18.020000000000003</v>
      </c>
      <c r="B144" s="45" t="s">
        <v>12</v>
      </c>
      <c r="C144" s="33">
        <f>C143*1.3</f>
        <v>14.523599999999998</v>
      </c>
      <c r="D144" s="51" t="s">
        <v>35</v>
      </c>
      <c r="E144" s="42">
        <v>0</v>
      </c>
      <c r="F144" s="43">
        <f t="shared" si="13"/>
        <v>0</v>
      </c>
    </row>
    <row r="145" spans="1:6" x14ac:dyDescent="0.25">
      <c r="A145" s="44">
        <f t="shared" si="14"/>
        <v>18.030000000000005</v>
      </c>
      <c r="B145" s="45" t="s">
        <v>17</v>
      </c>
      <c r="C145" s="33">
        <f>(45.04+48.06)*0.3*0.2</f>
        <v>5.5859999999999994</v>
      </c>
      <c r="D145" s="36" t="s">
        <v>35</v>
      </c>
      <c r="E145" s="42">
        <v>0</v>
      </c>
      <c r="F145" s="43">
        <f t="shared" si="13"/>
        <v>0</v>
      </c>
    </row>
    <row r="146" spans="1:6" x14ac:dyDescent="0.25">
      <c r="A146" s="44">
        <f t="shared" si="14"/>
        <v>18.040000000000006</v>
      </c>
      <c r="B146" s="45" t="s">
        <v>18</v>
      </c>
      <c r="C146" s="33">
        <f>(45.04+48.06)*0.3*0.2</f>
        <v>5.5859999999999994</v>
      </c>
      <c r="D146" s="34" t="s">
        <v>35</v>
      </c>
      <c r="E146" s="42">
        <v>0</v>
      </c>
      <c r="F146" s="43">
        <f t="shared" si="13"/>
        <v>0</v>
      </c>
    </row>
    <row r="147" spans="1:6" ht="25.5" x14ac:dyDescent="0.25">
      <c r="A147" s="44">
        <f t="shared" si="14"/>
        <v>18.050000000000008</v>
      </c>
      <c r="B147" s="45" t="s">
        <v>120</v>
      </c>
      <c r="C147" s="33">
        <v>46</v>
      </c>
      <c r="D147" s="37" t="s">
        <v>39</v>
      </c>
      <c r="E147" s="42">
        <v>0</v>
      </c>
      <c r="F147" s="43">
        <f t="shared" si="13"/>
        <v>0</v>
      </c>
    </row>
    <row r="148" spans="1:6" ht="25.5" x14ac:dyDescent="0.25">
      <c r="A148" s="44">
        <f t="shared" si="14"/>
        <v>18.060000000000009</v>
      </c>
      <c r="B148" s="45" t="s">
        <v>121</v>
      </c>
      <c r="C148" s="33">
        <f>48.06*2</f>
        <v>96.12</v>
      </c>
      <c r="D148" s="37" t="s">
        <v>39</v>
      </c>
      <c r="E148" s="42">
        <v>0</v>
      </c>
      <c r="F148" s="43">
        <f t="shared" si="13"/>
        <v>0</v>
      </c>
    </row>
    <row r="149" spans="1:6" x14ac:dyDescent="0.25">
      <c r="A149" s="53">
        <v>19</v>
      </c>
      <c r="B149" s="40" t="s">
        <v>63</v>
      </c>
      <c r="C149" s="57"/>
      <c r="D149" s="41"/>
      <c r="E149" s="58"/>
      <c r="F149" s="59"/>
    </row>
    <row r="150" spans="1:6" x14ac:dyDescent="0.25">
      <c r="A150" s="44">
        <f>A149+0.01</f>
        <v>19.010000000000002</v>
      </c>
      <c r="B150" s="45" t="s">
        <v>65</v>
      </c>
      <c r="C150" s="33">
        <f>0.4*0.6*350</f>
        <v>84</v>
      </c>
      <c r="D150" s="37" t="s">
        <v>35</v>
      </c>
      <c r="E150" s="42">
        <v>0</v>
      </c>
      <c r="F150" s="43">
        <f t="shared" si="13"/>
        <v>0</v>
      </c>
    </row>
    <row r="151" spans="1:6" x14ac:dyDescent="0.25">
      <c r="A151" s="44">
        <f t="shared" ref="A151:A152" si="15">A150+0.01</f>
        <v>19.020000000000003</v>
      </c>
      <c r="B151" s="45" t="s">
        <v>33</v>
      </c>
      <c r="C151" s="33">
        <f>C150*1.3</f>
        <v>109.2</v>
      </c>
      <c r="D151" s="37" t="s">
        <v>35</v>
      </c>
      <c r="E151" s="48">
        <v>0</v>
      </c>
      <c r="F151" s="43">
        <f t="shared" si="13"/>
        <v>0</v>
      </c>
    </row>
    <row r="152" spans="1:6" x14ac:dyDescent="0.25">
      <c r="A152" s="44">
        <f t="shared" si="15"/>
        <v>19.030000000000005</v>
      </c>
      <c r="B152" s="45" t="s">
        <v>64</v>
      </c>
      <c r="C152" s="33">
        <f>0.4*0.6*350</f>
        <v>84</v>
      </c>
      <c r="D152" s="37" t="s">
        <v>35</v>
      </c>
      <c r="E152" s="42">
        <v>0</v>
      </c>
      <c r="F152" s="43">
        <f t="shared" si="13"/>
        <v>0</v>
      </c>
    </row>
    <row r="153" spans="1:6" x14ac:dyDescent="0.25">
      <c r="A153" s="53">
        <v>20</v>
      </c>
      <c r="B153" s="40" t="s">
        <v>19</v>
      </c>
      <c r="C153" s="57"/>
      <c r="D153" s="41"/>
      <c r="E153" s="58"/>
      <c r="F153" s="59"/>
    </row>
    <row r="154" spans="1:6" x14ac:dyDescent="0.25">
      <c r="A154" s="44">
        <f>A153+0.01</f>
        <v>20.010000000000002</v>
      </c>
      <c r="B154" s="45" t="s">
        <v>20</v>
      </c>
      <c r="C154" s="33">
        <f>(360*0.15)+(828*0.1)</f>
        <v>136.80000000000001</v>
      </c>
      <c r="D154" s="37" t="s">
        <v>35</v>
      </c>
      <c r="E154" s="42">
        <v>0</v>
      </c>
      <c r="F154" s="43">
        <f t="shared" si="13"/>
        <v>0</v>
      </c>
    </row>
    <row r="155" spans="1:6" x14ac:dyDescent="0.25">
      <c r="A155" s="53">
        <v>21</v>
      </c>
      <c r="B155" s="40" t="s">
        <v>199</v>
      </c>
      <c r="C155" s="57"/>
      <c r="D155" s="41"/>
      <c r="E155" s="58"/>
      <c r="F155" s="59"/>
    </row>
    <row r="156" spans="1:6" ht="25.5" x14ac:dyDescent="0.25">
      <c r="A156" s="44">
        <f>A155+0.01</f>
        <v>21.01</v>
      </c>
      <c r="B156" s="45" t="s">
        <v>200</v>
      </c>
      <c r="C156" s="33">
        <f>((27.04*3)+42.13)*2+(112*0.4)</f>
        <v>291.3</v>
      </c>
      <c r="D156" s="37" t="s">
        <v>38</v>
      </c>
      <c r="E156" s="42">
        <v>0</v>
      </c>
      <c r="F156" s="43">
        <f>E156*C156</f>
        <v>0</v>
      </c>
    </row>
    <row r="157" spans="1:6" x14ac:dyDescent="0.25">
      <c r="A157" s="53">
        <v>22</v>
      </c>
      <c r="B157" s="40" t="s">
        <v>183</v>
      </c>
      <c r="C157" s="57"/>
      <c r="D157" s="41"/>
      <c r="E157" s="58"/>
      <c r="F157" s="59"/>
    </row>
    <row r="158" spans="1:6" ht="25.5" x14ac:dyDescent="0.25">
      <c r="A158" s="44">
        <f>A157+0.01</f>
        <v>22.01</v>
      </c>
      <c r="B158" s="45" t="s">
        <v>198</v>
      </c>
      <c r="C158" s="33">
        <v>1</v>
      </c>
      <c r="D158" s="37" t="s">
        <v>45</v>
      </c>
      <c r="E158" s="42">
        <v>0</v>
      </c>
      <c r="F158" s="43">
        <f>E158*C158</f>
        <v>0</v>
      </c>
    </row>
    <row r="159" spans="1:6" x14ac:dyDescent="0.25">
      <c r="A159" s="53">
        <v>23</v>
      </c>
      <c r="B159" s="40" t="s">
        <v>29</v>
      </c>
      <c r="C159" s="57"/>
      <c r="D159" s="41"/>
      <c r="E159" s="58"/>
      <c r="F159" s="59"/>
    </row>
    <row r="160" spans="1:6" x14ac:dyDescent="0.25">
      <c r="A160" s="44">
        <f>A159+0.01</f>
        <v>23.01</v>
      </c>
      <c r="B160" s="45" t="s">
        <v>30</v>
      </c>
      <c r="C160" s="33">
        <v>1</v>
      </c>
      <c r="D160" s="37" t="s">
        <v>45</v>
      </c>
      <c r="E160" s="42">
        <v>0</v>
      </c>
      <c r="F160" s="43">
        <f t="shared" si="13"/>
        <v>0</v>
      </c>
    </row>
    <row r="161" spans="1:9" x14ac:dyDescent="0.25">
      <c r="A161" s="53">
        <v>24</v>
      </c>
      <c r="B161" s="40" t="s">
        <v>194</v>
      </c>
      <c r="C161" s="57"/>
      <c r="D161" s="41"/>
      <c r="E161" s="58"/>
      <c r="F161" s="59"/>
    </row>
    <row r="162" spans="1:9" x14ac:dyDescent="0.25">
      <c r="A162" s="44"/>
      <c r="B162" s="52" t="s">
        <v>195</v>
      </c>
      <c r="C162" s="38"/>
      <c r="D162" s="38"/>
      <c r="E162" s="48"/>
      <c r="F162" s="43"/>
    </row>
    <row r="163" spans="1:9" x14ac:dyDescent="0.25">
      <c r="A163" s="44">
        <f>A161+0.01</f>
        <v>24.01</v>
      </c>
      <c r="B163" s="45" t="s">
        <v>177</v>
      </c>
      <c r="C163" s="38">
        <v>19</v>
      </c>
      <c r="D163" s="38" t="s">
        <v>50</v>
      </c>
      <c r="E163" s="48">
        <v>0</v>
      </c>
      <c r="F163" s="43">
        <f t="shared" ref="F163:F167" si="16">E163*C163</f>
        <v>0</v>
      </c>
    </row>
    <row r="164" spans="1:9" x14ac:dyDescent="0.25">
      <c r="A164" s="44">
        <f t="shared" ref="A164:A167" si="17">A163+0.01</f>
        <v>24.020000000000003</v>
      </c>
      <c r="B164" s="45" t="s">
        <v>178</v>
      </c>
      <c r="C164" s="38">
        <v>36</v>
      </c>
      <c r="D164" s="38" t="s">
        <v>50</v>
      </c>
      <c r="E164" s="48">
        <v>0</v>
      </c>
      <c r="F164" s="43">
        <f t="shared" si="16"/>
        <v>0</v>
      </c>
    </row>
    <row r="165" spans="1:9" x14ac:dyDescent="0.25">
      <c r="A165" s="44">
        <f t="shared" si="17"/>
        <v>24.030000000000005</v>
      </c>
      <c r="B165" s="45" t="s">
        <v>176</v>
      </c>
      <c r="C165" s="38">
        <v>6</v>
      </c>
      <c r="D165" s="38" t="s">
        <v>50</v>
      </c>
      <c r="E165" s="48">
        <v>0</v>
      </c>
      <c r="F165" s="43">
        <f t="shared" si="16"/>
        <v>0</v>
      </c>
    </row>
    <row r="166" spans="1:9" x14ac:dyDescent="0.25">
      <c r="A166" s="44">
        <f t="shared" si="17"/>
        <v>24.040000000000006</v>
      </c>
      <c r="B166" s="45" t="s">
        <v>179</v>
      </c>
      <c r="C166" s="38">
        <f>54+12+9</f>
        <v>75</v>
      </c>
      <c r="D166" s="38" t="s">
        <v>50</v>
      </c>
      <c r="E166" s="48">
        <v>0</v>
      </c>
      <c r="F166" s="43">
        <f t="shared" si="16"/>
        <v>0</v>
      </c>
    </row>
    <row r="167" spans="1:9" x14ac:dyDescent="0.25">
      <c r="A167" s="44">
        <f t="shared" si="17"/>
        <v>24.050000000000008</v>
      </c>
      <c r="B167" s="45" t="s">
        <v>201</v>
      </c>
      <c r="C167" s="38">
        <v>2.4</v>
      </c>
      <c r="D167" s="38" t="s">
        <v>180</v>
      </c>
      <c r="E167" s="48">
        <v>0</v>
      </c>
      <c r="F167" s="43">
        <f t="shared" si="16"/>
        <v>0</v>
      </c>
    </row>
    <row r="168" spans="1:9" x14ac:dyDescent="0.25">
      <c r="A168" s="44"/>
      <c r="B168" s="52" t="s">
        <v>196</v>
      </c>
      <c r="C168" s="38"/>
      <c r="D168" s="38"/>
      <c r="E168" s="48"/>
      <c r="F168" s="43"/>
    </row>
    <row r="169" spans="1:9" ht="13.5" thickBot="1" x14ac:dyDescent="0.3">
      <c r="A169" s="60">
        <v>24.06</v>
      </c>
      <c r="B169" s="61" t="s">
        <v>197</v>
      </c>
      <c r="C169" s="62">
        <v>2.4</v>
      </c>
      <c r="D169" s="62" t="s">
        <v>180</v>
      </c>
      <c r="E169" s="63">
        <v>0</v>
      </c>
      <c r="F169" s="43">
        <f t="shared" ref="F169" si="18">E169*C169</f>
        <v>0</v>
      </c>
    </row>
    <row r="170" spans="1:9" x14ac:dyDescent="0.25">
      <c r="A170" s="25"/>
      <c r="B170" s="50"/>
      <c r="C170" s="26"/>
      <c r="D170" s="27"/>
      <c r="E170" s="28"/>
      <c r="F170" s="29"/>
    </row>
    <row r="171" spans="1:9" x14ac:dyDescent="0.25">
      <c r="A171" s="79"/>
      <c r="B171" s="97" t="s">
        <v>95</v>
      </c>
      <c r="C171" s="98"/>
      <c r="D171" s="98"/>
      <c r="E171" s="99"/>
      <c r="F171" s="80">
        <f>SUM(F5:F170)</f>
        <v>0</v>
      </c>
      <c r="G171" s="32"/>
      <c r="H171" s="32"/>
      <c r="I171" s="32"/>
    </row>
    <row r="172" spans="1:9" x14ac:dyDescent="0.25">
      <c r="A172" s="81"/>
      <c r="B172" s="114" t="s">
        <v>202</v>
      </c>
      <c r="C172" s="115"/>
      <c r="D172" s="116"/>
      <c r="E172" s="31">
        <v>0.1</v>
      </c>
      <c r="F172" s="82">
        <f>+F171*0.1</f>
        <v>0</v>
      </c>
      <c r="G172" s="32"/>
      <c r="H172" s="32"/>
      <c r="I172" s="32"/>
    </row>
    <row r="173" spans="1:9" x14ac:dyDescent="0.25">
      <c r="A173" s="81"/>
      <c r="B173" s="114" t="s">
        <v>203</v>
      </c>
      <c r="C173" s="115"/>
      <c r="D173" s="116"/>
      <c r="E173" s="31">
        <v>0.03</v>
      </c>
      <c r="F173" s="82">
        <f>+F171*0.03</f>
        <v>0</v>
      </c>
      <c r="G173" s="32"/>
      <c r="H173" s="32"/>
      <c r="I173" s="32"/>
    </row>
    <row r="174" spans="1:9" x14ac:dyDescent="0.25">
      <c r="A174" s="81"/>
      <c r="B174" s="114" t="s">
        <v>204</v>
      </c>
      <c r="C174" s="115"/>
      <c r="D174" s="116"/>
      <c r="E174" s="31">
        <v>0.04</v>
      </c>
      <c r="F174" s="82">
        <f>+F171*0.04</f>
        <v>0</v>
      </c>
      <c r="G174" s="32"/>
      <c r="H174" s="32"/>
      <c r="I174" s="32"/>
    </row>
    <row r="175" spans="1:9" x14ac:dyDescent="0.25">
      <c r="A175" s="83"/>
      <c r="B175" s="103" t="s">
        <v>205</v>
      </c>
      <c r="C175" s="104"/>
      <c r="D175" s="104"/>
      <c r="E175" s="105"/>
      <c r="F175" s="84">
        <f>SUM(F171:F174)</f>
        <v>0</v>
      </c>
      <c r="G175" s="32"/>
      <c r="H175" s="32"/>
      <c r="I175" s="32"/>
    </row>
    <row r="176" spans="1:9" x14ac:dyDescent="0.25">
      <c r="A176" s="85"/>
      <c r="B176" s="114" t="s">
        <v>97</v>
      </c>
      <c r="C176" s="115"/>
      <c r="D176" s="116"/>
      <c r="E176" s="30">
        <v>0.18</v>
      </c>
      <c r="F176" s="82">
        <f>+F175*0.18</f>
        <v>0</v>
      </c>
      <c r="G176" s="32"/>
      <c r="H176" s="32"/>
      <c r="I176" s="32"/>
    </row>
    <row r="177" spans="1:9" x14ac:dyDescent="0.25">
      <c r="A177" s="106"/>
      <c r="B177" s="101"/>
      <c r="C177" s="101"/>
      <c r="D177" s="101"/>
      <c r="E177" s="101"/>
      <c r="F177" s="107"/>
      <c r="G177" s="32"/>
      <c r="H177" s="32"/>
      <c r="I177" s="32"/>
    </row>
    <row r="178" spans="1:9" ht="13.5" thickBot="1" x14ac:dyDescent="0.3">
      <c r="A178" s="108" t="s">
        <v>208</v>
      </c>
      <c r="B178" s="109"/>
      <c r="C178" s="109"/>
      <c r="D178" s="109"/>
      <c r="E178" s="110"/>
      <c r="F178" s="86">
        <f>+F175+F176</f>
        <v>0</v>
      </c>
      <c r="G178" s="32"/>
      <c r="H178" s="32"/>
      <c r="I178" s="32"/>
    </row>
    <row r="179" spans="1:9" x14ac:dyDescent="0.25">
      <c r="A179" s="73"/>
      <c r="B179" s="74"/>
      <c r="C179" s="75"/>
      <c r="D179" s="76"/>
      <c r="E179" s="77"/>
      <c r="F179" s="78"/>
    </row>
    <row r="180" spans="1:9" s="39" customFormat="1" x14ac:dyDescent="0.25">
      <c r="A180" s="73"/>
      <c r="B180" s="74"/>
      <c r="C180" s="75"/>
      <c r="D180" s="76"/>
      <c r="E180" s="77"/>
      <c r="F180" s="78"/>
    </row>
    <row r="181" spans="1:9" s="39" customFormat="1" ht="13.5" thickBot="1" x14ac:dyDescent="0.3">
      <c r="A181" s="73"/>
      <c r="B181" s="74"/>
      <c r="C181" s="75"/>
      <c r="D181" s="76"/>
      <c r="E181" s="77"/>
      <c r="F181" s="78"/>
    </row>
    <row r="182" spans="1:9" ht="12.75" customHeight="1" x14ac:dyDescent="0.25">
      <c r="A182" s="91" t="s">
        <v>103</v>
      </c>
      <c r="B182" s="92"/>
      <c r="C182" s="92"/>
      <c r="D182" s="92"/>
      <c r="E182" s="92"/>
      <c r="F182" s="93"/>
    </row>
    <row r="183" spans="1:9" ht="13.5" thickBot="1" x14ac:dyDescent="0.3">
      <c r="A183" s="94"/>
      <c r="B183" s="95"/>
      <c r="C183" s="95"/>
      <c r="D183" s="95"/>
      <c r="E183" s="95"/>
      <c r="F183" s="96"/>
    </row>
    <row r="184" spans="1:9" ht="13.5" thickBot="1" x14ac:dyDescent="0.3">
      <c r="A184" s="87" t="s">
        <v>0</v>
      </c>
      <c r="B184" s="88" t="s">
        <v>1</v>
      </c>
      <c r="C184" s="88" t="s">
        <v>2</v>
      </c>
      <c r="D184" s="88" t="s">
        <v>3</v>
      </c>
      <c r="E184" s="88" t="s">
        <v>4</v>
      </c>
      <c r="F184" s="89" t="s">
        <v>5</v>
      </c>
    </row>
    <row r="185" spans="1:9" x14ac:dyDescent="0.25">
      <c r="A185" s="67">
        <v>25</v>
      </c>
      <c r="B185" s="68" t="s">
        <v>66</v>
      </c>
      <c r="C185" s="69"/>
      <c r="D185" s="70"/>
      <c r="E185" s="71"/>
      <c r="F185" s="72"/>
    </row>
    <row r="186" spans="1:9" x14ac:dyDescent="0.25">
      <c r="A186" s="12">
        <f>A185+0.01</f>
        <v>25.01</v>
      </c>
      <c r="B186" s="13" t="s">
        <v>69</v>
      </c>
      <c r="C186" s="1">
        <v>500</v>
      </c>
      <c r="D186" s="4" t="s">
        <v>39</v>
      </c>
      <c r="E186" s="10">
        <v>0</v>
      </c>
      <c r="F186" s="11">
        <f t="shared" si="13"/>
        <v>0</v>
      </c>
    </row>
    <row r="187" spans="1:9" x14ac:dyDescent="0.25">
      <c r="A187" s="12">
        <f t="shared" ref="A187:A238" si="19">A186+0.01</f>
        <v>25.020000000000003</v>
      </c>
      <c r="B187" s="13" t="s">
        <v>24</v>
      </c>
      <c r="C187" s="3">
        <v>2</v>
      </c>
      <c r="D187" s="4" t="s">
        <v>50</v>
      </c>
      <c r="E187" s="10">
        <v>0</v>
      </c>
      <c r="F187" s="11">
        <f t="shared" si="13"/>
        <v>0</v>
      </c>
    </row>
    <row r="188" spans="1:9" x14ac:dyDescent="0.25">
      <c r="A188" s="12">
        <f t="shared" si="19"/>
        <v>25.030000000000005</v>
      </c>
      <c r="B188" s="13" t="s">
        <v>25</v>
      </c>
      <c r="C188" s="3">
        <v>2</v>
      </c>
      <c r="D188" s="4" t="s">
        <v>50</v>
      </c>
      <c r="E188" s="14">
        <v>0</v>
      </c>
      <c r="F188" s="11">
        <f t="shared" si="13"/>
        <v>0</v>
      </c>
    </row>
    <row r="189" spans="1:9" x14ac:dyDescent="0.25">
      <c r="A189" s="12">
        <f t="shared" si="19"/>
        <v>25.040000000000006</v>
      </c>
      <c r="B189" s="13" t="s">
        <v>26</v>
      </c>
      <c r="C189" s="3">
        <v>2</v>
      </c>
      <c r="D189" s="4" t="s">
        <v>50</v>
      </c>
      <c r="E189" s="10">
        <v>0</v>
      </c>
      <c r="F189" s="11">
        <f t="shared" si="13"/>
        <v>0</v>
      </c>
    </row>
    <row r="190" spans="1:9" x14ac:dyDescent="0.25">
      <c r="A190" s="12">
        <f t="shared" si="19"/>
        <v>25.050000000000008</v>
      </c>
      <c r="B190" s="13" t="s">
        <v>27</v>
      </c>
      <c r="C190" s="3">
        <v>10</v>
      </c>
      <c r="D190" s="4" t="s">
        <v>50</v>
      </c>
      <c r="E190" s="10">
        <v>0</v>
      </c>
      <c r="F190" s="11">
        <f t="shared" si="13"/>
        <v>0</v>
      </c>
    </row>
    <row r="191" spans="1:9" x14ac:dyDescent="0.25">
      <c r="A191" s="12">
        <f t="shared" si="19"/>
        <v>25.060000000000009</v>
      </c>
      <c r="B191" s="13" t="s">
        <v>68</v>
      </c>
      <c r="C191" s="3">
        <v>70</v>
      </c>
      <c r="D191" s="4" t="s">
        <v>50</v>
      </c>
      <c r="E191" s="10">
        <v>0</v>
      </c>
      <c r="F191" s="11">
        <f t="shared" si="13"/>
        <v>0</v>
      </c>
    </row>
    <row r="192" spans="1:9" x14ac:dyDescent="0.25">
      <c r="A192" s="12">
        <f t="shared" si="19"/>
        <v>25.070000000000011</v>
      </c>
      <c r="B192" s="13" t="s">
        <v>28</v>
      </c>
      <c r="C192" s="3">
        <v>20</v>
      </c>
      <c r="D192" s="4" t="s">
        <v>50</v>
      </c>
      <c r="E192" s="10">
        <v>0</v>
      </c>
      <c r="F192" s="11">
        <f t="shared" si="13"/>
        <v>0</v>
      </c>
    </row>
    <row r="193" spans="1:9" x14ac:dyDescent="0.25">
      <c r="A193" s="12">
        <f t="shared" si="19"/>
        <v>25.080000000000013</v>
      </c>
      <c r="B193" s="13" t="s">
        <v>67</v>
      </c>
      <c r="C193" s="1">
        <v>6</v>
      </c>
      <c r="D193" s="4" t="s">
        <v>50</v>
      </c>
      <c r="E193" s="14">
        <v>0</v>
      </c>
      <c r="F193" s="11">
        <f t="shared" si="13"/>
        <v>0</v>
      </c>
    </row>
    <row r="194" spans="1:9" x14ac:dyDescent="0.25">
      <c r="A194" s="12">
        <f t="shared" si="19"/>
        <v>25.090000000000014</v>
      </c>
      <c r="B194" s="13" t="s">
        <v>122</v>
      </c>
      <c r="C194" s="1">
        <v>2</v>
      </c>
      <c r="D194" s="4" t="s">
        <v>50</v>
      </c>
      <c r="E194" s="14">
        <v>0</v>
      </c>
      <c r="F194" s="11">
        <f t="shared" si="13"/>
        <v>0</v>
      </c>
    </row>
    <row r="195" spans="1:9" x14ac:dyDescent="0.25">
      <c r="A195" s="12">
        <f t="shared" si="19"/>
        <v>25.100000000000016</v>
      </c>
      <c r="B195" s="13" t="s">
        <v>70</v>
      </c>
      <c r="C195" s="1">
        <v>2</v>
      </c>
      <c r="D195" s="4" t="s">
        <v>50</v>
      </c>
      <c r="E195" s="14">
        <v>0</v>
      </c>
      <c r="F195" s="11">
        <f t="shared" si="13"/>
        <v>0</v>
      </c>
    </row>
    <row r="196" spans="1:9" x14ac:dyDescent="0.25">
      <c r="A196" s="12">
        <f t="shared" si="19"/>
        <v>25.110000000000017</v>
      </c>
      <c r="B196" s="13" t="s">
        <v>168</v>
      </c>
      <c r="C196" s="1">
        <v>1</v>
      </c>
      <c r="D196" s="4" t="s">
        <v>50</v>
      </c>
      <c r="E196" s="14">
        <v>0</v>
      </c>
      <c r="F196" s="11">
        <f t="shared" si="13"/>
        <v>0</v>
      </c>
    </row>
    <row r="197" spans="1:9" x14ac:dyDescent="0.25">
      <c r="A197" s="12">
        <f t="shared" si="19"/>
        <v>25.120000000000019</v>
      </c>
      <c r="B197" s="13" t="s">
        <v>21</v>
      </c>
      <c r="C197" s="3">
        <v>500</v>
      </c>
      <c r="D197" s="4" t="s">
        <v>39</v>
      </c>
      <c r="E197" s="14">
        <v>0</v>
      </c>
      <c r="F197" s="11">
        <f t="shared" si="13"/>
        <v>0</v>
      </c>
    </row>
    <row r="198" spans="1:9" x14ac:dyDescent="0.25">
      <c r="A198" s="12">
        <f t="shared" si="19"/>
        <v>25.13000000000002</v>
      </c>
      <c r="B198" s="13" t="s">
        <v>22</v>
      </c>
      <c r="C198" s="3">
        <v>300</v>
      </c>
      <c r="D198" s="4" t="s">
        <v>39</v>
      </c>
      <c r="E198" s="10">
        <v>0</v>
      </c>
      <c r="F198" s="11">
        <f t="shared" si="13"/>
        <v>0</v>
      </c>
    </row>
    <row r="199" spans="1:9" x14ac:dyDescent="0.25">
      <c r="A199" s="12">
        <f t="shared" si="19"/>
        <v>25.140000000000022</v>
      </c>
      <c r="B199" s="13" t="s">
        <v>23</v>
      </c>
      <c r="C199" s="3">
        <v>500</v>
      </c>
      <c r="D199" s="2" t="s">
        <v>39</v>
      </c>
      <c r="E199" s="10">
        <v>0</v>
      </c>
      <c r="F199" s="11">
        <f t="shared" si="13"/>
        <v>0</v>
      </c>
    </row>
    <row r="200" spans="1:9" x14ac:dyDescent="0.25">
      <c r="A200" s="12">
        <f t="shared" si="19"/>
        <v>25.150000000000023</v>
      </c>
      <c r="B200" s="15" t="s">
        <v>86</v>
      </c>
      <c r="C200" s="16">
        <v>4</v>
      </c>
      <c r="D200" s="17" t="s">
        <v>50</v>
      </c>
      <c r="E200" s="10">
        <v>0</v>
      </c>
      <c r="F200" s="11">
        <f t="shared" si="13"/>
        <v>0</v>
      </c>
    </row>
    <row r="201" spans="1:9" x14ac:dyDescent="0.25">
      <c r="A201" s="12">
        <f t="shared" si="19"/>
        <v>25.160000000000025</v>
      </c>
      <c r="B201" s="15" t="s">
        <v>87</v>
      </c>
      <c r="C201" s="16">
        <v>2</v>
      </c>
      <c r="D201" s="17" t="s">
        <v>50</v>
      </c>
      <c r="E201" s="10">
        <v>0</v>
      </c>
      <c r="F201" s="11">
        <f t="shared" si="13"/>
        <v>0</v>
      </c>
    </row>
    <row r="202" spans="1:9" x14ac:dyDescent="0.25">
      <c r="A202" s="12">
        <f t="shared" si="19"/>
        <v>25.170000000000027</v>
      </c>
      <c r="B202" s="15" t="s">
        <v>88</v>
      </c>
      <c r="C202" s="16">
        <v>4</v>
      </c>
      <c r="D202" s="17" t="s">
        <v>50</v>
      </c>
      <c r="E202" s="10">
        <v>0</v>
      </c>
      <c r="F202" s="11">
        <f t="shared" si="13"/>
        <v>0</v>
      </c>
    </row>
    <row r="203" spans="1:9" x14ac:dyDescent="0.25">
      <c r="A203" s="12">
        <f t="shared" si="19"/>
        <v>25.180000000000028</v>
      </c>
      <c r="B203" s="15" t="s">
        <v>71</v>
      </c>
      <c r="C203" s="16">
        <v>24</v>
      </c>
      <c r="D203" s="17" t="s">
        <v>50</v>
      </c>
      <c r="E203" s="10">
        <v>0</v>
      </c>
      <c r="F203" s="11">
        <f t="shared" si="13"/>
        <v>0</v>
      </c>
      <c r="I203" s="22"/>
    </row>
    <row r="204" spans="1:9" x14ac:dyDescent="0.25">
      <c r="A204" s="12">
        <f t="shared" si="19"/>
        <v>25.19000000000003</v>
      </c>
      <c r="B204" s="15" t="s">
        <v>72</v>
      </c>
      <c r="C204" s="16">
        <v>90</v>
      </c>
      <c r="D204" s="17" t="s">
        <v>50</v>
      </c>
      <c r="E204" s="10">
        <v>0</v>
      </c>
      <c r="F204" s="11">
        <f t="shared" si="13"/>
        <v>0</v>
      </c>
    </row>
    <row r="205" spans="1:9" x14ac:dyDescent="0.25">
      <c r="A205" s="12">
        <f t="shared" si="19"/>
        <v>25.200000000000031</v>
      </c>
      <c r="B205" s="15" t="s">
        <v>89</v>
      </c>
      <c r="C205" s="16">
        <v>6</v>
      </c>
      <c r="D205" s="17" t="s">
        <v>50</v>
      </c>
      <c r="E205" s="14">
        <v>0</v>
      </c>
      <c r="F205" s="11">
        <f t="shared" si="13"/>
        <v>0</v>
      </c>
    </row>
    <row r="206" spans="1:9" x14ac:dyDescent="0.25">
      <c r="A206" s="12">
        <f t="shared" si="19"/>
        <v>25.210000000000033</v>
      </c>
      <c r="B206" s="15" t="s">
        <v>123</v>
      </c>
      <c r="C206" s="16">
        <v>15</v>
      </c>
      <c r="D206" s="17" t="s">
        <v>50</v>
      </c>
      <c r="E206" s="10">
        <v>0</v>
      </c>
      <c r="F206" s="11">
        <f t="shared" si="13"/>
        <v>0</v>
      </c>
    </row>
    <row r="207" spans="1:9" x14ac:dyDescent="0.25">
      <c r="A207" s="12">
        <f t="shared" si="19"/>
        <v>25.220000000000034</v>
      </c>
      <c r="B207" s="15" t="s">
        <v>90</v>
      </c>
      <c r="C207" s="16">
        <v>100</v>
      </c>
      <c r="D207" s="17" t="s">
        <v>39</v>
      </c>
      <c r="E207" s="10">
        <v>0</v>
      </c>
      <c r="F207" s="11">
        <f t="shared" si="13"/>
        <v>0</v>
      </c>
    </row>
    <row r="208" spans="1:9" x14ac:dyDescent="0.25">
      <c r="A208" s="12">
        <f t="shared" si="19"/>
        <v>25.230000000000036</v>
      </c>
      <c r="B208" s="15" t="s">
        <v>173</v>
      </c>
      <c r="C208" s="16">
        <v>60</v>
      </c>
      <c r="D208" s="17" t="s">
        <v>50</v>
      </c>
      <c r="E208" s="10">
        <v>0</v>
      </c>
      <c r="F208" s="11">
        <f t="shared" si="13"/>
        <v>0</v>
      </c>
    </row>
    <row r="209" spans="1:6" x14ac:dyDescent="0.25">
      <c r="A209" s="12">
        <f t="shared" si="19"/>
        <v>25.240000000000038</v>
      </c>
      <c r="B209" s="15" t="s">
        <v>174</v>
      </c>
      <c r="C209" s="16">
        <v>100</v>
      </c>
      <c r="D209" s="17"/>
      <c r="E209" s="10">
        <v>0</v>
      </c>
      <c r="F209" s="11">
        <f t="shared" si="13"/>
        <v>0</v>
      </c>
    </row>
    <row r="210" spans="1:6" ht="25.5" x14ac:dyDescent="0.25">
      <c r="A210" s="12">
        <f t="shared" si="19"/>
        <v>25.250000000000039</v>
      </c>
      <c r="B210" s="18" t="s">
        <v>175</v>
      </c>
      <c r="C210" s="16">
        <v>150</v>
      </c>
      <c r="D210" s="17" t="s">
        <v>50</v>
      </c>
      <c r="E210" s="10">
        <v>0</v>
      </c>
      <c r="F210" s="11">
        <f t="shared" si="13"/>
        <v>0</v>
      </c>
    </row>
    <row r="211" spans="1:6" x14ac:dyDescent="0.25">
      <c r="A211" s="12">
        <f t="shared" si="19"/>
        <v>25.260000000000041</v>
      </c>
      <c r="B211" s="15" t="s">
        <v>73</v>
      </c>
      <c r="C211" s="16">
        <v>150</v>
      </c>
      <c r="D211" s="17" t="s">
        <v>39</v>
      </c>
      <c r="E211" s="10">
        <v>0</v>
      </c>
      <c r="F211" s="11">
        <f t="shared" si="13"/>
        <v>0</v>
      </c>
    </row>
    <row r="212" spans="1:6" x14ac:dyDescent="0.25">
      <c r="A212" s="12">
        <f t="shared" si="19"/>
        <v>25.270000000000042</v>
      </c>
      <c r="B212" s="15" t="s">
        <v>91</v>
      </c>
      <c r="C212" s="16">
        <v>100</v>
      </c>
      <c r="D212" s="17" t="s">
        <v>50</v>
      </c>
      <c r="E212" s="10">
        <v>0</v>
      </c>
      <c r="F212" s="11">
        <f t="shared" si="13"/>
        <v>0</v>
      </c>
    </row>
    <row r="213" spans="1:6" x14ac:dyDescent="0.25">
      <c r="A213" s="12">
        <f t="shared" si="19"/>
        <v>25.280000000000044</v>
      </c>
      <c r="B213" s="15" t="s">
        <v>74</v>
      </c>
      <c r="C213" s="16">
        <v>20</v>
      </c>
      <c r="D213" s="17" t="s">
        <v>50</v>
      </c>
      <c r="E213" s="10">
        <v>0</v>
      </c>
      <c r="F213" s="11">
        <f t="shared" si="13"/>
        <v>0</v>
      </c>
    </row>
    <row r="214" spans="1:6" x14ac:dyDescent="0.25">
      <c r="A214" s="12">
        <f t="shared" si="19"/>
        <v>25.290000000000045</v>
      </c>
      <c r="B214" s="15" t="s">
        <v>124</v>
      </c>
      <c r="C214" s="16">
        <v>6</v>
      </c>
      <c r="D214" s="17" t="s">
        <v>50</v>
      </c>
      <c r="E214" s="14">
        <v>0</v>
      </c>
      <c r="F214" s="11">
        <f t="shared" si="13"/>
        <v>0</v>
      </c>
    </row>
    <row r="215" spans="1:6" x14ac:dyDescent="0.25">
      <c r="A215" s="12">
        <f t="shared" si="19"/>
        <v>25.300000000000047</v>
      </c>
      <c r="B215" s="15" t="s">
        <v>75</v>
      </c>
      <c r="C215" s="16">
        <v>6</v>
      </c>
      <c r="D215" s="17" t="s">
        <v>50</v>
      </c>
      <c r="E215" s="14">
        <v>0</v>
      </c>
      <c r="F215" s="11">
        <f t="shared" si="13"/>
        <v>0</v>
      </c>
    </row>
    <row r="216" spans="1:6" x14ac:dyDescent="0.25">
      <c r="A216" s="12">
        <f t="shared" si="19"/>
        <v>25.310000000000048</v>
      </c>
      <c r="B216" s="15" t="s">
        <v>76</v>
      </c>
      <c r="C216" s="16">
        <v>12</v>
      </c>
      <c r="D216" s="17" t="s">
        <v>50</v>
      </c>
      <c r="E216" s="14">
        <v>0</v>
      </c>
      <c r="F216" s="11">
        <f t="shared" si="13"/>
        <v>0</v>
      </c>
    </row>
    <row r="217" spans="1:6" x14ac:dyDescent="0.25">
      <c r="A217" s="12">
        <f t="shared" si="19"/>
        <v>25.32000000000005</v>
      </c>
      <c r="B217" s="15" t="s">
        <v>77</v>
      </c>
      <c r="C217" s="16">
        <v>10</v>
      </c>
      <c r="D217" s="17" t="s">
        <v>50</v>
      </c>
      <c r="E217" s="14">
        <v>0</v>
      </c>
      <c r="F217" s="11">
        <f t="shared" si="13"/>
        <v>0</v>
      </c>
    </row>
    <row r="218" spans="1:6" x14ac:dyDescent="0.25">
      <c r="A218" s="12">
        <f t="shared" si="19"/>
        <v>25.330000000000052</v>
      </c>
      <c r="B218" s="15" t="s">
        <v>78</v>
      </c>
      <c r="C218" s="16">
        <v>20</v>
      </c>
      <c r="D218" s="17" t="s">
        <v>50</v>
      </c>
      <c r="E218" s="14">
        <v>0</v>
      </c>
      <c r="F218" s="11">
        <f t="shared" si="13"/>
        <v>0</v>
      </c>
    </row>
    <row r="219" spans="1:6" x14ac:dyDescent="0.25">
      <c r="A219" s="12">
        <f t="shared" si="19"/>
        <v>25.340000000000053</v>
      </c>
      <c r="B219" s="15" t="s">
        <v>79</v>
      </c>
      <c r="C219" s="16">
        <v>4</v>
      </c>
      <c r="D219" s="17" t="s">
        <v>50</v>
      </c>
      <c r="E219" s="14">
        <v>0</v>
      </c>
      <c r="F219" s="11">
        <f t="shared" si="13"/>
        <v>0</v>
      </c>
    </row>
    <row r="220" spans="1:6" x14ac:dyDescent="0.25">
      <c r="A220" s="12">
        <f t="shared" si="19"/>
        <v>25.350000000000055</v>
      </c>
      <c r="B220" s="15" t="s">
        <v>80</v>
      </c>
      <c r="C220" s="16">
        <v>4</v>
      </c>
      <c r="D220" s="17" t="s">
        <v>50</v>
      </c>
      <c r="E220" s="14">
        <v>0</v>
      </c>
      <c r="F220" s="11">
        <f t="shared" si="13"/>
        <v>0</v>
      </c>
    </row>
    <row r="221" spans="1:6" x14ac:dyDescent="0.25">
      <c r="A221" s="12">
        <f t="shared" si="19"/>
        <v>25.360000000000056</v>
      </c>
      <c r="B221" s="15" t="s">
        <v>81</v>
      </c>
      <c r="C221" s="16">
        <v>4</v>
      </c>
      <c r="D221" s="17" t="s">
        <v>50</v>
      </c>
      <c r="E221" s="14">
        <v>0</v>
      </c>
      <c r="F221" s="11">
        <f t="shared" si="13"/>
        <v>0</v>
      </c>
    </row>
    <row r="222" spans="1:6" x14ac:dyDescent="0.25">
      <c r="A222" s="12">
        <f t="shared" si="19"/>
        <v>25.370000000000058</v>
      </c>
      <c r="B222" s="15" t="s">
        <v>102</v>
      </c>
      <c r="C222" s="16">
        <v>4</v>
      </c>
      <c r="D222" s="17" t="s">
        <v>50</v>
      </c>
      <c r="E222" s="14">
        <v>0</v>
      </c>
      <c r="F222" s="11">
        <f t="shared" si="13"/>
        <v>0</v>
      </c>
    </row>
    <row r="223" spans="1:6" x14ac:dyDescent="0.25">
      <c r="A223" s="12">
        <f t="shared" si="19"/>
        <v>25.380000000000059</v>
      </c>
      <c r="B223" s="15" t="s">
        <v>82</v>
      </c>
      <c r="C223" s="16">
        <v>4</v>
      </c>
      <c r="D223" s="17" t="s">
        <v>50</v>
      </c>
      <c r="E223" s="14">
        <v>0</v>
      </c>
      <c r="F223" s="11">
        <f t="shared" ref="F223:F238" si="20">E223*C223</f>
        <v>0</v>
      </c>
    </row>
    <row r="224" spans="1:6" x14ac:dyDescent="0.25">
      <c r="A224" s="12">
        <f t="shared" si="19"/>
        <v>25.390000000000061</v>
      </c>
      <c r="B224" s="15" t="s">
        <v>92</v>
      </c>
      <c r="C224" s="16">
        <v>8</v>
      </c>
      <c r="D224" s="17" t="s">
        <v>50</v>
      </c>
      <c r="E224" s="14">
        <v>0</v>
      </c>
      <c r="F224" s="11">
        <f t="shared" si="20"/>
        <v>0</v>
      </c>
    </row>
    <row r="225" spans="1:6" x14ac:dyDescent="0.25">
      <c r="A225" s="12">
        <f t="shared" si="19"/>
        <v>25.400000000000063</v>
      </c>
      <c r="B225" s="15" t="s">
        <v>125</v>
      </c>
      <c r="C225" s="16">
        <v>4</v>
      </c>
      <c r="D225" s="17" t="s">
        <v>50</v>
      </c>
      <c r="E225" s="14">
        <v>0</v>
      </c>
      <c r="F225" s="11">
        <f t="shared" si="20"/>
        <v>0</v>
      </c>
    </row>
    <row r="226" spans="1:6" x14ac:dyDescent="0.25">
      <c r="A226" s="12">
        <f t="shared" si="19"/>
        <v>25.410000000000064</v>
      </c>
      <c r="B226" s="15" t="s">
        <v>83</v>
      </c>
      <c r="C226" s="16">
        <v>12</v>
      </c>
      <c r="D226" s="17" t="s">
        <v>50</v>
      </c>
      <c r="E226" s="14">
        <v>0</v>
      </c>
      <c r="F226" s="11">
        <f t="shared" si="20"/>
        <v>0</v>
      </c>
    </row>
    <row r="227" spans="1:6" x14ac:dyDescent="0.25">
      <c r="A227" s="12">
        <f t="shared" si="19"/>
        <v>25.420000000000066</v>
      </c>
      <c r="B227" s="15" t="s">
        <v>84</v>
      </c>
      <c r="C227" s="16">
        <v>1</v>
      </c>
      <c r="D227" s="17" t="s">
        <v>50</v>
      </c>
      <c r="E227" s="14">
        <v>0</v>
      </c>
      <c r="F227" s="11">
        <f t="shared" si="20"/>
        <v>0</v>
      </c>
    </row>
    <row r="228" spans="1:6" x14ac:dyDescent="0.25">
      <c r="A228" s="12">
        <f t="shared" si="19"/>
        <v>25.430000000000067</v>
      </c>
      <c r="B228" s="15" t="s">
        <v>85</v>
      </c>
      <c r="C228" s="16">
        <v>50</v>
      </c>
      <c r="D228" s="17" t="s">
        <v>50</v>
      </c>
      <c r="E228" s="14">
        <v>0</v>
      </c>
      <c r="F228" s="11">
        <f t="shared" si="20"/>
        <v>0</v>
      </c>
    </row>
    <row r="229" spans="1:6" x14ac:dyDescent="0.25">
      <c r="A229" s="12">
        <f t="shared" si="19"/>
        <v>25.440000000000069</v>
      </c>
      <c r="B229" s="15" t="s">
        <v>93</v>
      </c>
      <c r="C229" s="16">
        <v>30</v>
      </c>
      <c r="D229" s="17" t="s">
        <v>39</v>
      </c>
      <c r="E229" s="14">
        <v>0</v>
      </c>
      <c r="F229" s="11">
        <f t="shared" si="20"/>
        <v>0</v>
      </c>
    </row>
    <row r="230" spans="1:6" x14ac:dyDescent="0.25">
      <c r="A230" s="12">
        <f t="shared" si="19"/>
        <v>25.45000000000007</v>
      </c>
      <c r="B230" s="15" t="s">
        <v>94</v>
      </c>
      <c r="C230" s="16">
        <v>20</v>
      </c>
      <c r="D230" s="17" t="s">
        <v>39</v>
      </c>
      <c r="E230" s="14">
        <v>0</v>
      </c>
      <c r="F230" s="11">
        <f t="shared" si="20"/>
        <v>0</v>
      </c>
    </row>
    <row r="231" spans="1:6" ht="38.25" x14ac:dyDescent="0.25">
      <c r="A231" s="12">
        <f t="shared" si="19"/>
        <v>25.460000000000072</v>
      </c>
      <c r="B231" s="13" t="s">
        <v>169</v>
      </c>
      <c r="C231" s="5">
        <v>1</v>
      </c>
      <c r="D231" s="5" t="s">
        <v>45</v>
      </c>
      <c r="E231" s="14">
        <v>0</v>
      </c>
      <c r="F231" s="11">
        <f t="shared" si="20"/>
        <v>0</v>
      </c>
    </row>
    <row r="232" spans="1:6" ht="38.25" x14ac:dyDescent="0.25">
      <c r="A232" s="12">
        <f t="shared" si="19"/>
        <v>25.470000000000073</v>
      </c>
      <c r="B232" s="13" t="s">
        <v>187</v>
      </c>
      <c r="C232" s="5">
        <v>6</v>
      </c>
      <c r="D232" s="5" t="s">
        <v>50</v>
      </c>
      <c r="E232" s="14">
        <v>0</v>
      </c>
      <c r="F232" s="11">
        <f t="shared" si="20"/>
        <v>0</v>
      </c>
    </row>
    <row r="233" spans="1:6" x14ac:dyDescent="0.25">
      <c r="A233" s="12">
        <f t="shared" si="19"/>
        <v>25.480000000000075</v>
      </c>
      <c r="B233" s="13" t="s">
        <v>170</v>
      </c>
      <c r="C233" s="5">
        <v>3</v>
      </c>
      <c r="D233" s="5" t="s">
        <v>50</v>
      </c>
      <c r="E233" s="14">
        <v>0</v>
      </c>
      <c r="F233" s="11">
        <f t="shared" si="20"/>
        <v>0</v>
      </c>
    </row>
    <row r="234" spans="1:6" x14ac:dyDescent="0.25">
      <c r="A234" s="12">
        <f t="shared" si="19"/>
        <v>25.490000000000077</v>
      </c>
      <c r="B234" s="13" t="s">
        <v>171</v>
      </c>
      <c r="C234" s="5">
        <v>3</v>
      </c>
      <c r="D234" s="5" t="s">
        <v>50</v>
      </c>
      <c r="E234" s="14">
        <v>0</v>
      </c>
      <c r="F234" s="11">
        <f t="shared" si="20"/>
        <v>0</v>
      </c>
    </row>
    <row r="235" spans="1:6" x14ac:dyDescent="0.25">
      <c r="A235" s="12">
        <f t="shared" si="19"/>
        <v>25.500000000000078</v>
      </c>
      <c r="B235" s="13" t="s">
        <v>184</v>
      </c>
      <c r="C235" s="5">
        <v>1</v>
      </c>
      <c r="D235" s="5" t="s">
        <v>50</v>
      </c>
      <c r="E235" s="14">
        <v>0</v>
      </c>
      <c r="F235" s="11">
        <f t="shared" si="20"/>
        <v>0</v>
      </c>
    </row>
    <row r="236" spans="1:6" x14ac:dyDescent="0.25">
      <c r="A236" s="12">
        <f t="shared" si="19"/>
        <v>25.51000000000008</v>
      </c>
      <c r="B236" s="13" t="s">
        <v>185</v>
      </c>
      <c r="C236" s="5">
        <v>3</v>
      </c>
      <c r="D236" s="5" t="s">
        <v>50</v>
      </c>
      <c r="E236" s="14">
        <v>0</v>
      </c>
      <c r="F236" s="11">
        <f t="shared" si="20"/>
        <v>0</v>
      </c>
    </row>
    <row r="237" spans="1:6" x14ac:dyDescent="0.25">
      <c r="A237" s="12">
        <f t="shared" si="19"/>
        <v>25.520000000000081</v>
      </c>
      <c r="B237" s="13" t="s">
        <v>186</v>
      </c>
      <c r="C237" s="5">
        <v>3</v>
      </c>
      <c r="D237" s="5" t="s">
        <v>50</v>
      </c>
      <c r="E237" s="14">
        <v>0</v>
      </c>
      <c r="F237" s="11">
        <f t="shared" si="20"/>
        <v>0</v>
      </c>
    </row>
    <row r="238" spans="1:6" x14ac:dyDescent="0.25">
      <c r="A238" s="12">
        <f t="shared" si="19"/>
        <v>25.530000000000083</v>
      </c>
      <c r="B238" s="13" t="s">
        <v>172</v>
      </c>
      <c r="C238" s="5">
        <v>3</v>
      </c>
      <c r="D238" s="5" t="s">
        <v>50</v>
      </c>
      <c r="E238" s="14">
        <v>0</v>
      </c>
      <c r="F238" s="11">
        <f t="shared" si="20"/>
        <v>0</v>
      </c>
    </row>
    <row r="239" spans="1:6" x14ac:dyDescent="0.25">
      <c r="A239" s="23"/>
      <c r="B239" s="97" t="s">
        <v>95</v>
      </c>
      <c r="C239" s="98"/>
      <c r="D239" s="98"/>
      <c r="E239" s="99"/>
      <c r="F239" s="24">
        <f>SUM(F186:F238)</f>
        <v>0</v>
      </c>
    </row>
    <row r="240" spans="1:6" x14ac:dyDescent="0.25">
      <c r="A240" s="20"/>
      <c r="B240" s="19" t="s">
        <v>97</v>
      </c>
      <c r="C240" s="5">
        <v>18</v>
      </c>
      <c r="D240" s="5" t="s">
        <v>96</v>
      </c>
      <c r="E240" s="6"/>
      <c r="F240" s="7">
        <f>+F239*0.18</f>
        <v>0</v>
      </c>
    </row>
    <row r="241" spans="1:6" x14ac:dyDescent="0.25">
      <c r="A241" s="100"/>
      <c r="B241" s="101"/>
      <c r="C241" s="101"/>
      <c r="D241" s="101"/>
      <c r="E241" s="101"/>
      <c r="F241" s="102"/>
    </row>
    <row r="242" spans="1:6" x14ac:dyDescent="0.25">
      <c r="A242" s="103" t="s">
        <v>207</v>
      </c>
      <c r="B242" s="104"/>
      <c r="C242" s="104"/>
      <c r="D242" s="104"/>
      <c r="E242" s="105"/>
      <c r="F242" s="8">
        <f>+F239+F240</f>
        <v>0</v>
      </c>
    </row>
    <row r="245" spans="1:6" ht="15" x14ac:dyDescent="0.25">
      <c r="A245" s="111" t="s">
        <v>206</v>
      </c>
      <c r="B245" s="112"/>
      <c r="C245" s="112"/>
      <c r="D245" s="112"/>
      <c r="E245" s="113"/>
      <c r="F245" s="90">
        <f>+F178+F242</f>
        <v>0</v>
      </c>
    </row>
  </sheetData>
  <mergeCells count="14">
    <mergeCell ref="A245:E245"/>
    <mergeCell ref="B172:D172"/>
    <mergeCell ref="B173:D173"/>
    <mergeCell ref="B174:D174"/>
    <mergeCell ref="B176:D176"/>
    <mergeCell ref="A182:F183"/>
    <mergeCell ref="A1:F2"/>
    <mergeCell ref="B239:E239"/>
    <mergeCell ref="A241:F241"/>
    <mergeCell ref="A242:E242"/>
    <mergeCell ref="B171:E171"/>
    <mergeCell ref="B175:E175"/>
    <mergeCell ref="A177:F177"/>
    <mergeCell ref="A178:E178"/>
  </mergeCells>
  <phoneticPr fontId="2" type="noConversion"/>
  <printOptions horizontalCentered="1"/>
  <pageMargins left="0.7" right="0.7" top="0.75" bottom="0.75" header="0.3" footer="0.3"/>
  <pageSetup scale="76" orientation="portrait" r:id="rId1"/>
  <ignoredErrors>
    <ignoredError sqref="C1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Edenorte Dominicana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mcanelo</dc:creator>
  <cp:lastModifiedBy>Idi Amin Mancebo</cp:lastModifiedBy>
  <cp:lastPrinted>2014-07-16T14:09:09Z</cp:lastPrinted>
  <dcterms:created xsi:type="dcterms:W3CDTF">2012-05-21T20:37:38Z</dcterms:created>
  <dcterms:modified xsi:type="dcterms:W3CDTF">2017-04-17T19:09:38Z</dcterms:modified>
</cp:coreProperties>
</file>